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85" yWindow="120" windowWidth="14595" windowHeight="7245" firstSheet="1" activeTab="1"/>
  </bookViews>
  <sheets>
    <sheet name="Home" sheetId="1" r:id="rId1"/>
    <sheet name="Summary" sheetId="2" r:id="rId2"/>
    <sheet name="Questionnaire" sheetId="3" r:id="rId3"/>
    <sheet name="Patching" sheetId="4" r:id="rId4"/>
    <sheet name="Inventory" sheetId="5" r:id="rId5"/>
    <sheet name="Support" sheetId="6" r:id="rId6"/>
    <sheet name="MAD" sheetId="7" r:id="rId7"/>
    <sheet name="Compliance" sheetId="8" r:id="rId8"/>
    <sheet name="Security" sheetId="9" r:id="rId9"/>
    <sheet name="Hidden" sheetId="10" state="hidden" r:id="rId10"/>
  </sheets>
  <definedNames>
    <definedName name="Annual_growthrate">'Questionnaire'!$C$5</definedName>
    <definedName name="ClientConfigsPatched">'Questionnaire'!$C$33</definedName>
    <definedName name="ClientReturnCost">'Questionnaire'!#REF!</definedName>
    <definedName name="Deploy_Minute">'Questionnaire'!$E$19</definedName>
    <definedName name="EndUser_Avg_Hourly">'Questionnaire'!$D$15</definedName>
    <definedName name="IT_hourly_rate">'Questionnaire'!#REF!</definedName>
    <definedName name="IT_L1_Hourly">'Questionnaire'!$D$16</definedName>
    <definedName name="IT_L2_Hourly">'Questionnaire'!$D$17</definedName>
    <definedName name="IT_L3_Hourly">'Questionnaire'!$D$18</definedName>
    <definedName name="IT_Minute">'Questionnaire'!#REF!</definedName>
    <definedName name="L1_Minute">'Questionnaire'!$E$16</definedName>
    <definedName name="L2_Minute">'Questionnaire'!$E$17</definedName>
    <definedName name="L3_Minute">'Questionnaire'!$E$18</definedName>
    <definedName name="NumApps">'Questionnaire'!$C$7</definedName>
    <definedName name="NumAssetInventories">'Questionnaire'!$D$49</definedName>
    <definedName name="NumClients">'Home'!$C$19</definedName>
    <definedName name="Numclients2">'Questionnaire'!$C$4</definedName>
    <definedName name="NumComplianceAudits">'Questionnaire'!$D$69</definedName>
    <definedName name="NumConfigs">'Questionnaire'!$C$8</definedName>
    <definedName name="NumRollouts">'Questionnaire'!$C$31</definedName>
    <definedName name="NumServerConfigs">'Questionnaire'!$C$9</definedName>
    <definedName name="NumSites">'Questionnaire'!$C$6</definedName>
    <definedName name="NumWorkingDays">'Questionnaire'!$C$10</definedName>
    <definedName name="_xlnm.Print_Area" localSheetId="2">'Questionnaire'!$A$1:$H$160</definedName>
    <definedName name="_xlnm.Print_Area" localSheetId="8">'Security'!$A$1:$K$89</definedName>
    <definedName name="ServerConfigsPatched">'Questionnaire'!$C$35</definedName>
    <definedName name="ServerConfsPatched">'Questionnaire'!$C$35</definedName>
    <definedName name="ServerManageabilityRate">'Questionnaire'!$C$36</definedName>
    <definedName name="User_Minute">'Questionnaire'!$E$15</definedName>
    <definedName name="Yes_No_NA">'Hidden'!$A$3:$A$5</definedName>
  </definedNames>
  <calcPr fullCalcOnLoad="1"/>
</workbook>
</file>

<file path=xl/comments3.xml><?xml version="1.0" encoding="utf-8"?>
<comments xmlns="http://schemas.openxmlformats.org/spreadsheetml/2006/main">
  <authors>
    <author>Allyn Vogel</author>
  </authors>
  <commentList>
    <comment ref="D3" authorId="0">
      <text>
        <r>
          <rPr>
            <sz val="9"/>
            <color indexed="18"/>
            <rFont val="Calibri"/>
            <family val="2"/>
          </rPr>
          <t xml:space="preserve">Source: Measuring the Value of Intel® vPro™ Technology in the Enterprise, Wipro Ltd. (2006). See the Instructions worksheet for more information on the representative North American enterprise that we use to provide the default values for this calculator. 
</t>
        </r>
      </text>
    </comment>
    <comment ref="D4" authorId="0">
      <text>
        <r>
          <rPr>
            <sz val="9"/>
            <color indexed="18"/>
            <rFont val="Calibri"/>
            <family val="2"/>
          </rPr>
          <t xml:space="preserve">We assume that an enterprise with 40,000 total computers is converting 8,000 users from PCs to well-managed vPro/Centrino Pro or server-based computing with thin clients. 
</t>
        </r>
      </text>
    </comment>
    <comment ref="D5" authorId="0">
      <text>
        <r>
          <rPr>
            <sz val="9"/>
            <color indexed="18"/>
            <rFont val="Calibri"/>
            <family val="2"/>
          </rPr>
          <t xml:space="preserve">Percentage growth in system need per year. We estimate a 10 pecent growth rate with the client count growing to 8,800 by end of the year. </t>
        </r>
      </text>
    </comment>
    <comment ref="D6" authorId="0">
      <text>
        <r>
          <rPr>
            <sz val="9"/>
            <color indexed="18"/>
            <rFont val="Calibri"/>
            <family val="2"/>
          </rPr>
          <t xml:space="preserve">We assume that the clients are spread across 10 of the enterprise's 40 sites. 
</t>
        </r>
      </text>
    </comment>
    <comment ref="D7" authorId="0">
      <text>
        <r>
          <rPr>
            <sz val="9"/>
            <color indexed="18"/>
            <rFont val="Calibri"/>
            <family val="2"/>
          </rPr>
          <t xml:space="preserve">We assume that the users  of these systems run 60 of the 102 applications the company deploys (approximately 60 percent). </t>
        </r>
      </text>
    </comment>
    <comment ref="D8" authorId="0">
      <text>
        <r>
          <rPr>
            <sz val="9"/>
            <color indexed="18"/>
            <rFont val="Calibri"/>
            <family val="2"/>
          </rPr>
          <t>Each additional user configuration that IT supports raises IT costs, adding to the number of images IT manages and increasing the complexity of patching, support, deployment, security, and compliance tasks.</t>
        </r>
      </text>
    </comment>
    <comment ref="D9" authorId="0">
      <text>
        <r>
          <rPr>
            <sz val="9"/>
            <color indexed="18"/>
            <rFont val="Calibri"/>
            <family val="2"/>
          </rPr>
          <t xml:space="preserve">Each additional server configuration that IT supports raises IT costs, adding to the number of images IT manages and increasing the complexity of server patching, support, deployment, security, and compliance. </t>
        </r>
      </text>
    </comment>
    <comment ref="D10" authorId="0">
      <text>
        <r>
          <rPr>
            <sz val="9"/>
            <color indexed="18"/>
            <rFont val="Calibri"/>
            <family val="2"/>
          </rPr>
          <t>Calculations are based on 245 working days per year on average for the enterprise staff.</t>
        </r>
      </text>
    </comment>
    <comment ref="E49" authorId="0">
      <text>
        <r>
          <rPr>
            <sz val="9"/>
            <color indexed="18"/>
            <rFont val="Calibri"/>
            <family val="2"/>
          </rPr>
          <t xml:space="preserve">Assumes an average of approximately one asset inventory every three days. </t>
        </r>
      </text>
    </comment>
    <comment ref="F14" authorId="0">
      <text>
        <r>
          <rPr>
            <sz val="9"/>
            <color indexed="18"/>
            <rFont val="Calibri"/>
            <family val="2"/>
          </rPr>
          <t xml:space="preserve">Assumes 8-hour workday.
</t>
        </r>
      </text>
    </comment>
    <comment ref="F15" authorId="0">
      <text>
        <r>
          <rPr>
            <sz val="9"/>
            <color indexed="18"/>
            <rFont val="Calibri"/>
            <family val="2"/>
          </rPr>
          <t xml:space="preserve">Estimate of average annual burdened rate for the 8,000 users. </t>
        </r>
      </text>
    </comment>
    <comment ref="F16" authorId="0">
      <text>
        <r>
          <rPr>
            <sz val="9"/>
            <color indexed="18"/>
            <rFont val="Calibri"/>
            <family val="2"/>
          </rPr>
          <t xml:space="preserve">We use the average annual burdened rate for staff from the Wipro Ltd. report for help desk and support staff costs. </t>
        </r>
      </text>
    </comment>
    <comment ref="F19" authorId="0">
      <text>
        <r>
          <rPr>
            <sz val="9"/>
            <color indexed="18"/>
            <rFont val="Calibri"/>
            <family val="2"/>
          </rPr>
          <t>Estimated cost of staff responsible for deploying new systems.</t>
        </r>
      </text>
    </comment>
    <comment ref="E23" authorId="0">
      <text>
        <r>
          <rPr>
            <sz val="9"/>
            <color indexed="18"/>
            <rFont val="Calibri"/>
            <family val="2"/>
          </rPr>
          <t>The average number of clients that are inaccessible or unresponsive to management tools at any one time. Inaccessible clients are a major manageability cost factor. Clients that are inaccessible to automated management tools must be managed deskside, leading to higher costs for IT and more user downtime. Various studies supported by Intel provide estimates of 95 to 100 percent accessibility for clients with vPro technology. Ranges for accessibility of non-vPro thick clients range widely from 70 to 90 percent. The higher estimates typically reflect clients with Wake-on LAN-capabilities. Thin clients are usually accessible and responsive to management tools.</t>
        </r>
      </text>
    </comment>
    <comment ref="E24" authorId="0">
      <text>
        <r>
          <rPr>
            <sz val="9"/>
            <color indexed="18"/>
            <rFont val="Calibri"/>
            <family val="2"/>
          </rPr>
          <t>The WiPro Ltd. whitepaper estimates a four-year refresh cycle for thick clients. Thin clients typically have a longer refresh cycle.</t>
        </r>
      </text>
    </comment>
    <comment ref="E25" authorId="0">
      <text>
        <r>
          <rPr>
            <sz val="9"/>
            <color indexed="18"/>
            <rFont val="Calibri"/>
            <family val="2"/>
          </rPr>
          <t xml:space="preserve">In Thin clients: Exploring Rollout Costs, (2007), we estimate 60 clients per server for thin clients, assuming users making light to medium demands on the server. A different demand level would alter this number. We used www.hp.com to configure servers to host both the applications and, in the case of the thin client platform, the thin clients. Our estimates are based on using HP Proliant DL360 G5 servers with two dual-core Intel Xeon 3.0GHZ CPUs and 4GB of RAM. </t>
        </r>
      </text>
    </comment>
    <comment ref="E26" authorId="0">
      <text>
        <r>
          <rPr>
            <sz val="9"/>
            <color indexed="18"/>
            <rFont val="Calibri"/>
            <family val="2"/>
          </rPr>
          <t>Calculated based on the number of client systems per server in the previous row and 8,000 clients.</t>
        </r>
      </text>
    </comment>
    <comment ref="D36" authorId="0">
      <text>
        <r>
          <rPr>
            <sz val="9"/>
            <color indexed="18"/>
            <rFont val="Calibri"/>
            <family val="2"/>
          </rPr>
          <t xml:space="preserve">Assumes few patching problems for servers with most servers responding to remote management tools.  </t>
        </r>
      </text>
    </comment>
    <comment ref="D35" authorId="0">
      <text>
        <r>
          <rPr>
            <sz val="9"/>
            <color indexed="18"/>
            <rFont val="Calibri"/>
            <family val="2"/>
          </rPr>
          <t xml:space="preserve">Average percentage of server configurations targeted per patch distribution times the Number of client configurations. </t>
        </r>
      </text>
    </comment>
    <comment ref="D34" authorId="0">
      <text>
        <r>
          <rPr>
            <sz val="9"/>
            <color indexed="18"/>
            <rFont val="Calibri"/>
            <family val="2"/>
          </rPr>
          <t xml:space="preserve">Assumes most servers get one or more patches in each patch distribution.  </t>
        </r>
      </text>
    </comment>
    <comment ref="D33" authorId="0">
      <text>
        <r>
          <rPr>
            <sz val="9"/>
            <color indexed="18"/>
            <rFont val="Calibri"/>
            <family val="2"/>
          </rPr>
          <t xml:space="preserve">Average percentage of client configurations targeted per distribution times the Number of client configurations. </t>
        </r>
      </text>
    </comment>
    <comment ref="D32" authorId="0">
      <text>
        <r>
          <rPr>
            <sz val="9"/>
            <color indexed="18"/>
            <rFont val="Calibri"/>
            <family val="2"/>
          </rPr>
          <t xml:space="preserve">Assumes most client configurations get at least one patch in monthly patch distribution. </t>
        </r>
      </text>
    </comment>
    <comment ref="D31" authorId="0">
      <text>
        <r>
          <rPr>
            <sz val="9"/>
            <color indexed="18"/>
            <rFont val="Calibri"/>
            <family val="2"/>
          </rPr>
          <t xml:space="preserve">Sum of scheduled and unscheduled distributions in previous two rows. </t>
        </r>
      </text>
    </comment>
    <comment ref="D30" authorId="0">
      <text>
        <r>
          <rPr>
            <sz val="9"/>
            <color indexed="18"/>
            <rFont val="Calibri"/>
            <family val="2"/>
          </rPr>
          <t xml:space="preserve">Novell white paper estimates two annual unscheduled patch distributions. </t>
        </r>
      </text>
    </comment>
    <comment ref="D29" authorId="0">
      <text>
        <r>
          <rPr>
            <sz val="9"/>
            <color indexed="18"/>
            <rFont val="Calibri"/>
            <family val="2"/>
          </rPr>
          <t xml:space="preserve">Source: Novell white paper recommends monthly patches. Some enterprises schedule weekly distributions. </t>
        </r>
      </text>
    </comment>
    <comment ref="E46" authorId="0">
      <text>
        <r>
          <rPr>
            <sz val="9"/>
            <color indexed="18"/>
            <rFont val="Calibri"/>
            <family val="2"/>
          </rPr>
          <t>We base our estimate on the averages in An Analysis of Early Testing of Intel® vPro™ processor technology in Large IT Departments.</t>
        </r>
      </text>
    </comment>
    <comment ref="E45" authorId="0">
      <text>
        <r>
          <rPr>
            <sz val="9"/>
            <color indexed="18"/>
            <rFont val="Calibri"/>
            <family val="2"/>
          </rPr>
          <t xml:space="preserve">Source: We base our estimates on average desk-side visit counts for vPro and non-vPro rich clients in the white paper Case Studies with Intel® vPro™ processor technology An Analysis of Early Testing of Intel® vPro™ processor technology in Large IT Departments. That report shows average number desk-side visits to non-vPro clients for software fix of 1.64 and for hardware fix of 2.29; for vPro systems those numbers are .14 for software fix and 1 for hardware fix. We use those numbers to drive our estimate of 14 percent of software problems requiring a desk-side visit for vPro systems. Number of visits for thin clients will be lower because in general thin client problems are remediated with hardware swaps rather than desk-side repairs. </t>
        </r>
      </text>
    </comment>
    <comment ref="E44" authorId="0">
      <text>
        <r>
          <rPr>
            <sz val="9"/>
            <color indexed="18"/>
            <rFont val="Calibri"/>
            <family val="2"/>
          </rPr>
          <t xml:space="preserve">Number of calls is calculated by multiplying percentage of calls by number of clients. </t>
        </r>
      </text>
    </comment>
    <comment ref="E43" authorId="0">
      <text>
        <r>
          <rPr>
            <sz val="9"/>
            <color indexed="18"/>
            <rFont val="Calibri"/>
            <family val="2"/>
          </rPr>
          <t xml:space="preserve">Number of calls is calculated by multiplying percentage of calls by number of clients. </t>
        </r>
      </text>
    </comment>
    <comment ref="E42" authorId="0">
      <text>
        <r>
          <rPr>
            <sz val="9"/>
            <color indexed="18"/>
            <rFont val="Calibri"/>
            <family val="2"/>
          </rPr>
          <t>Percentage of calls that are software related is 100 percent minus percentage of calls that are hardware related.</t>
        </r>
      </text>
    </comment>
    <comment ref="E41" authorId="0">
      <text>
        <r>
          <rPr>
            <sz val="9"/>
            <color indexed="18"/>
            <rFont val="Calibri"/>
            <family val="2"/>
          </rPr>
          <t xml:space="preserve">Source: based on estimate in the Managing Training Rooms with Intel® vPro™ Processor Technology white paper that shows 65 percent of call center tickets are for hardware. </t>
        </r>
      </text>
    </comment>
    <comment ref="E40" authorId="0">
      <text>
        <r>
          <rPr>
            <sz val="9"/>
            <color indexed="18"/>
            <rFont val="Calibri"/>
            <family val="2"/>
          </rPr>
          <t xml:space="preserve">We anticipate the highest call volume for well-managed non-vPro thick clients. </t>
        </r>
      </text>
    </comment>
    <comment ref="E53" authorId="0">
      <text>
        <r>
          <rPr>
            <sz val="9"/>
            <color indexed="18"/>
            <rFont val="Calibri"/>
            <family val="2"/>
          </rPr>
          <t>Success rate of remote asset inventory calculated by subtracting the accessible clients that have additional inventory problems from the average percentage of clients accessible remotely by management tools, the values in the previous two rows.</t>
        </r>
      </text>
    </comment>
    <comment ref="E52" authorId="0">
      <text>
        <r>
          <rPr>
            <sz val="9"/>
            <color indexed="18"/>
            <rFont val="Calibri"/>
            <family val="2"/>
          </rPr>
          <t xml:space="preserve">Accessible clients that have additional inventory problems. We estimate none or negligible additional problems. </t>
        </r>
      </text>
    </comment>
    <comment ref="E51" authorId="0">
      <text>
        <r>
          <rPr>
            <sz val="9"/>
            <color indexed="18"/>
            <rFont val="Calibri"/>
            <family val="2"/>
          </rPr>
          <t>Average percentage of clients accessible remotely by management tools.</t>
        </r>
      </text>
    </comment>
    <comment ref="E66" authorId="0">
      <text>
        <r>
          <rPr>
            <sz val="9"/>
            <color indexed="18"/>
            <rFont val="Calibri"/>
            <family val="2"/>
          </rPr>
          <t>Number of adds per year multiplied by sum of percentage of clients not accessible remotely and additional deployment failures.</t>
        </r>
      </text>
    </comment>
    <comment ref="E65" authorId="0">
      <text>
        <r>
          <rPr>
            <sz val="9"/>
            <color indexed="18"/>
            <rFont val="Calibri"/>
            <family val="2"/>
          </rPr>
          <t xml:space="preserve">Number of moves per year multiplied by sum of percentage of clients not accessible remotely and additional deployment failures. </t>
        </r>
      </text>
    </comment>
    <comment ref="E64" authorId="0">
      <text>
        <r>
          <rPr>
            <sz val="9"/>
            <color indexed="18"/>
            <rFont val="Calibri"/>
            <family val="2"/>
          </rPr>
          <t xml:space="preserve">Failure rate for accessible clients. 
</t>
        </r>
      </text>
    </comment>
    <comment ref="E63" authorId="0">
      <text>
        <r>
          <rPr>
            <sz val="9"/>
            <color indexed="18"/>
            <rFont val="Calibri"/>
            <family val="2"/>
          </rPr>
          <t xml:space="preserve">100% minus the average percentage of clients accessible remotely by management tools.
</t>
        </r>
      </text>
    </comment>
    <comment ref="E62" authorId="0">
      <text>
        <r>
          <rPr>
            <sz val="9"/>
            <color indexed="18"/>
            <rFont val="Calibri"/>
            <family val="2"/>
          </rPr>
          <t>Number of system deletes is equal to the number of systems replaced per year.</t>
        </r>
      </text>
    </comment>
    <comment ref="E61" authorId="0">
      <text>
        <r>
          <rPr>
            <sz val="9"/>
            <color indexed="18"/>
            <rFont val="Calibri"/>
            <family val="2"/>
          </rPr>
          <t>Sum of the number of systems replaced per year and the number of additional systems per year.</t>
        </r>
      </text>
    </comment>
    <comment ref="E60" authorId="0">
      <text>
        <r>
          <rPr>
            <sz val="9"/>
            <color indexed="18"/>
            <rFont val="Calibri"/>
            <family val="2"/>
          </rPr>
          <t>Calculated based on the number of clients and the percentage of system moves per year.</t>
        </r>
      </text>
    </comment>
    <comment ref="E59" authorId="0">
      <text>
        <r>
          <rPr>
            <sz val="9"/>
            <color indexed="18"/>
            <rFont val="Calibri"/>
            <family val="2"/>
          </rPr>
          <t>Calculated based on number of clients and annual growth rate.</t>
        </r>
      </text>
    </comment>
    <comment ref="E58" authorId="0">
      <text>
        <r>
          <rPr>
            <sz val="9"/>
            <color indexed="18"/>
            <rFont val="Calibri"/>
            <family val="2"/>
          </rPr>
          <t>Calculated based on the number of clients and the client replacement schedule.</t>
        </r>
      </text>
    </comment>
    <comment ref="E57" authorId="0">
      <text>
        <r>
          <rPr>
            <sz val="9"/>
            <color indexed="18"/>
            <rFont val="Calibri"/>
            <family val="2"/>
          </rPr>
          <t>Estimate of number of client systems that IT has to move each year.</t>
        </r>
      </text>
    </comment>
    <comment ref="E72" authorId="0">
      <text>
        <r>
          <rPr>
            <sz val="9"/>
            <color indexed="18"/>
            <rFont val="Calibri"/>
            <family val="2"/>
          </rPr>
          <t xml:space="preserve">Percentage of systems needing remediation (per audit) calculated by subtracting the accessible clients that have additional inventory problems from the average percentage of clients accessible remotely by management tools, the values in the previous two rows. 
</t>
        </r>
      </text>
    </comment>
    <comment ref="E71" authorId="0">
      <text>
        <r>
          <rPr>
            <sz val="9"/>
            <color indexed="18"/>
            <rFont val="Calibri"/>
            <family val="2"/>
          </rPr>
          <t xml:space="preserve">Average percentage of clients accessible remotely by management tools from corporate info tab. 
</t>
        </r>
      </text>
    </comment>
    <comment ref="E69" authorId="0">
      <text>
        <r>
          <rPr>
            <sz val="9"/>
            <color indexed="18"/>
            <rFont val="Calibri"/>
            <family val="2"/>
          </rPr>
          <t xml:space="preserve">Assumes compliance audits run multiple times per month. 
</t>
        </r>
      </text>
    </comment>
    <comment ref="E76" authorId="0">
      <text>
        <r>
          <rPr>
            <sz val="9"/>
            <color indexed="18"/>
            <rFont val="Calibri"/>
            <family val="2"/>
          </rPr>
          <t xml:space="preserve">We assume users download viruses or other security threats and call on IT to remediate or IT detects the threat using management tools.
</t>
        </r>
      </text>
    </comment>
    <comment ref="E77" authorId="0">
      <text>
        <r>
          <rPr>
            <sz val="9"/>
            <color indexed="18"/>
            <rFont val="Calibri"/>
            <family val="2"/>
          </rPr>
          <t>We assume problem resolution requires at most one desk-side visit.</t>
        </r>
      </text>
    </comment>
  </commentList>
</comments>
</file>

<file path=xl/comments4.xml><?xml version="1.0" encoding="utf-8"?>
<comments xmlns="http://schemas.openxmlformats.org/spreadsheetml/2006/main">
  <authors>
    <author>Allyn Vogel</author>
  </authors>
  <commentList>
    <comment ref="E11" authorId="0">
      <text>
        <r>
          <rPr>
            <sz val="9"/>
            <color indexed="18"/>
            <rFont val="Calibri"/>
            <family val="2"/>
          </rPr>
          <t xml:space="preserve">Assumes greater number of rich clients than thin clients get each patch distribution. </t>
        </r>
      </text>
    </comment>
    <comment ref="E12" authorId="0">
      <text>
        <r>
          <rPr>
            <sz val="9"/>
            <color indexed="18"/>
            <rFont val="Calibri"/>
            <family val="2"/>
          </rPr>
          <t xml:space="preserve">Total number of clients times average percentage of systems targeted for each patch distribution. </t>
        </r>
      </text>
    </comment>
    <comment ref="E13" authorId="0">
      <text>
        <r>
          <rPr>
            <sz val="9"/>
            <color indexed="18"/>
            <rFont val="Calibri"/>
            <family val="2"/>
          </rPr>
          <t xml:space="preserve">100 percent minus the percentage of clients accessible remotely on Questionnaire tab. </t>
        </r>
      </text>
    </comment>
    <comment ref="E14" authorId="0">
      <text>
        <r>
          <rPr>
            <sz val="9"/>
            <color indexed="18"/>
            <rFont val="Calibri"/>
            <family val="2"/>
          </rPr>
          <t xml:space="preserve">Percentage of accessible clients with patch distribution failures. We estimate no or negligible additional problems.  </t>
        </r>
      </text>
    </comment>
    <comment ref="E15" authorId="0">
      <text>
        <r>
          <rPr>
            <sz val="9"/>
            <color indexed="18"/>
            <rFont val="Calibri"/>
            <family val="2"/>
          </rPr>
          <t xml:space="preserve">Sum of percentage of clients accessible remotely plus percentage of accessible clients with patch distribution failures times average number of clients receiving each distribution. </t>
        </r>
      </text>
    </comment>
    <comment ref="E19" authorId="0">
      <text>
        <r>
          <rPr>
            <sz val="9"/>
            <color indexed="18"/>
            <rFont val="Calibri"/>
            <family val="2"/>
          </rPr>
          <t xml:space="preserve">Assumes most servers get one or more patches in each distribution. </t>
        </r>
      </text>
    </comment>
    <comment ref="E20" authorId="0">
      <text>
        <r>
          <rPr>
            <sz val="9"/>
            <color indexed="18"/>
            <rFont val="Calibri"/>
            <family val="2"/>
          </rPr>
          <t xml:space="preserve">Total number of servers (from Questionnaire tab) times average percentage of clients targeted for each patch distribution. </t>
        </r>
      </text>
    </comment>
    <comment ref="E21" authorId="0">
      <text>
        <r>
          <rPr>
            <sz val="9"/>
            <color indexed="18"/>
            <rFont val="Calibri"/>
            <family val="2"/>
          </rPr>
          <t xml:space="preserve">Percentage of servers accessible remotely on Questionnaire tab. </t>
        </r>
      </text>
    </comment>
    <comment ref="E23" authorId="0">
      <text>
        <r>
          <rPr>
            <sz val="9"/>
            <color indexed="18"/>
            <rFont val="Calibri"/>
            <family val="2"/>
          </rPr>
          <t xml:space="preserve">Sum of percentage of servers not accessible remotely plus percentage of accessible servers with patch distribution failures times average number of servers receiving each distribution. </t>
        </r>
      </text>
    </comment>
    <comment ref="E24" authorId="0">
      <text>
        <r>
          <rPr>
            <sz val="9"/>
            <color indexed="18"/>
            <rFont val="Calibri"/>
            <family val="2"/>
          </rPr>
          <t xml:space="preserve">Number of clients per server (from Questionnaire tab). </t>
        </r>
      </text>
    </comment>
    <comment ref="G29" authorId="0">
      <text>
        <r>
          <rPr>
            <sz val="9"/>
            <color indexed="18"/>
            <rFont val="Calibri"/>
            <family val="2"/>
          </rPr>
          <t xml:space="preserve">Assumes patching problems remediated with either scheduled desk-side visit or by system receiving patches on next connection. </t>
        </r>
      </text>
    </comment>
    <comment ref="G37" authorId="0">
      <text>
        <r>
          <rPr>
            <sz val="9"/>
            <color indexed="18"/>
            <rFont val="Calibri"/>
            <family val="2"/>
          </rPr>
          <t xml:space="preserve">Assumes patching problems remediated with either scheduled desk-side visit or by system receiving patches on next connection. </t>
        </r>
      </text>
    </comment>
    <comment ref="K42" authorId="0">
      <text>
        <r>
          <rPr>
            <sz val="9"/>
            <color indexed="18"/>
            <rFont val="Calibri"/>
            <family val="2"/>
          </rPr>
          <t xml:space="preserve">Source: We based our estimates on numbers in the Novell Automated Patch Management paper. We estimate an average cost per patch distribution for automated research, analysis, testing, and monitoring of 14 hours. Each configuration adds an additional 4 hours. </t>
        </r>
      </text>
    </comment>
    <comment ref="K45" authorId="0">
      <text>
        <r>
          <rPr>
            <sz val="9"/>
            <color indexed="18"/>
            <rFont val="Calibri"/>
            <family val="2"/>
          </rPr>
          <t>Source: The Siemens and Atos Origin white papers and other vPro technology review white papers on the Intel site report patch distribution times of nearly four hours for client counts of 5,000+. We use that time as a base for the initial automated patch distribution time.</t>
        </r>
      </text>
    </comment>
    <comment ref="K48" authorId="0">
      <text>
        <r>
          <rPr>
            <sz val="9"/>
            <color indexed="18"/>
            <rFont val="Calibri"/>
            <family val="2"/>
          </rPr>
          <t xml:space="preserve">We anticipate minimal lost end-user productivity while patch installs in background while user works. </t>
        </r>
      </text>
    </comment>
    <comment ref="K51" authorId="0">
      <text>
        <r>
          <rPr>
            <sz val="9"/>
            <color indexed="18"/>
            <rFont val="Calibri"/>
            <family val="2"/>
          </rPr>
          <t xml:space="preserve">Source: We include IT and end-user time for end-user manual installs. The Siemens white paper estimates manual patch install time at one hour while the Novell paper estimates half an hour. We use the average of those estimates. </t>
        </r>
      </text>
    </comment>
    <comment ref="K54" authorId="0">
      <text>
        <r>
          <rPr>
            <sz val="9"/>
            <color indexed="18"/>
            <rFont val="Calibri"/>
            <family val="2"/>
          </rPr>
          <t xml:space="preserve">Source: In the Technology Evaluation Brief, WM-data Services and PCs with Intel® vPro™ Technology (www.Intel.com), WM-data Services estimates the average cost of a desk-side visit at $150. Visits for patch problem remediation will be lower than average because of economies of scale. Scheduled, off-hours visit costs tend to be lower. Travel time estimates vary widely. We use the one-hour average Siemens reports in its white paper for the unscheduled visit.  </t>
        </r>
      </text>
    </comment>
    <comment ref="K57" authorId="0">
      <text>
        <r>
          <rPr>
            <sz val="9"/>
            <color indexed="18"/>
            <rFont val="Calibri"/>
            <family val="2"/>
          </rPr>
          <t xml:space="preserve">Source: Scheduled visits cost less than unscheduled visits because they can be off hours and because of economies of scale. ATOS estimates 5 minutes per client for off-hours desk-side patching and 30 minutes per client for travel time. Off-hours visits reduce user downtime.  </t>
        </r>
      </text>
    </comment>
    <comment ref="J63" authorId="0">
      <text>
        <r>
          <rPr>
            <sz val="9"/>
            <color indexed="18"/>
            <rFont val="Calibri"/>
            <family val="2"/>
          </rPr>
          <t xml:space="preserve">Source: We based our estimates on numbers in the Novell Automated Patch Management paper. We estimate an average cost per patch distribution for automated research, analysis, testing, and monitoring of 14 hours. Each configuration adds an additional 4 hours. </t>
        </r>
      </text>
    </comment>
    <comment ref="J64" authorId="0">
      <text>
        <r>
          <rPr>
            <sz val="9"/>
            <color indexed="18"/>
            <rFont val="Calibri"/>
            <family val="2"/>
          </rPr>
          <t>We assume a two-hour patch distribution time for the centralized servers.</t>
        </r>
      </text>
    </comment>
    <comment ref="J65" authorId="0">
      <text>
        <r>
          <rPr>
            <sz val="9"/>
            <color indexed="18"/>
            <rFont val="Calibri"/>
            <family val="2"/>
          </rPr>
          <t xml:space="preserve">Users will experience some downtime if server load is redistributed over the rest of the servers and if they have to reboot in response to server failures. We assume minimal interruption in user work due to server patching problems for vPro clients because little of their work is server side and more for non-vPro rich clients and thin clients because much of their work is server side. </t>
        </r>
      </text>
    </comment>
    <comment ref="G72" authorId="0">
      <text>
        <r>
          <rPr>
            <sz val="9"/>
            <color indexed="18"/>
            <rFont val="Calibri"/>
            <family val="2"/>
          </rPr>
          <t xml:space="preserve">Patch preparation and testing cost from previous table. Assume server cost is same for all platforms. </t>
        </r>
      </text>
    </comment>
    <comment ref="G73" authorId="0">
      <text>
        <r>
          <rPr>
            <sz val="9"/>
            <color indexed="18"/>
            <rFont val="Calibri"/>
            <family val="2"/>
          </rPr>
          <t xml:space="preserve">Cost from previous table for this task. </t>
        </r>
      </text>
    </comment>
    <comment ref="G74" authorId="0">
      <text>
        <r>
          <rPr>
            <sz val="9"/>
            <color indexed="18"/>
            <rFont val="Calibri"/>
            <family val="2"/>
          </rPr>
          <t xml:space="preserve">For remediation tasks, we multiply remediation cost from cost table by number of systems requiring each remediation from the remediation tables. </t>
        </r>
      </text>
    </comment>
    <comment ref="G84" authorId="0">
      <text>
        <r>
          <rPr>
            <sz val="9"/>
            <color indexed="18"/>
            <rFont val="Calibri"/>
            <family val="2"/>
          </rPr>
          <t xml:space="preserve">We sum the client and server patch distribution costs from previous table and multiply that sum by the number of annual patch distributions to get annual costs for all clients. We divide that cost by total number of clients to get per-client cost. </t>
        </r>
      </text>
    </comment>
    <comment ref="E22" authorId="0">
      <text>
        <r>
          <rPr>
            <sz val="9"/>
            <color indexed="18"/>
            <rFont val="Calibri"/>
            <family val="2"/>
          </rPr>
          <t xml:space="preserve">Accessible servers that have additional patching problems. We estimate no or negligible additional problems. </t>
        </r>
      </text>
    </comment>
  </commentList>
</comments>
</file>

<file path=xl/comments5.xml><?xml version="1.0" encoding="utf-8"?>
<comments xmlns="http://schemas.openxmlformats.org/spreadsheetml/2006/main">
  <authors>
    <author>Allyn Vogel</author>
  </authors>
  <commentList>
    <comment ref="G12" authorId="0">
      <text>
        <r>
          <rPr>
            <sz val="9"/>
            <color indexed="18"/>
            <rFont val="Calibri"/>
            <family val="2"/>
          </rPr>
          <t>The success rate of remote asset inventory values from the Questionnaire tab.</t>
        </r>
      </text>
    </comment>
    <comment ref="G13" authorId="0">
      <text>
        <r>
          <rPr>
            <sz val="9"/>
            <color indexed="18"/>
            <rFont val="Calibri"/>
            <family val="2"/>
          </rPr>
          <t>100 percent minus the values in the previous row. We assume systems that fail remote asset inventory require manual inventory.</t>
        </r>
      </text>
    </comment>
    <comment ref="J21" authorId="0">
      <text>
        <r>
          <rPr>
            <sz val="9"/>
            <color indexed="18"/>
            <rFont val="Calibri"/>
            <family val="2"/>
          </rPr>
          <t>Assumes 30 minutes of level 2 (mid-level) staff time to complete an enterprise-wide asset audit using automated management tools. Costs would normally be the same for all three platforms.</t>
        </r>
      </text>
    </comment>
    <comment ref="J24" authorId="0">
      <text>
        <r>
          <rPr>
            <sz val="9"/>
            <color indexed="18"/>
            <rFont val="Calibri"/>
            <family val="2"/>
          </rPr>
          <t xml:space="preserve">Assumes 5 minutes desk side time. We allow 5 minutes travel time to audit each client. Travel time is low because staff should be able to inventory multiple systems per visit. </t>
        </r>
      </text>
    </comment>
  </commentList>
</comments>
</file>

<file path=xl/comments6.xml><?xml version="1.0" encoding="utf-8"?>
<comments xmlns="http://schemas.openxmlformats.org/spreadsheetml/2006/main">
  <authors>
    <author>Allyn Vogel</author>
  </authors>
  <commentList>
    <comment ref="G13" authorId="0">
      <text>
        <r>
          <rPr>
            <sz val="9"/>
            <color indexed="18"/>
            <rFont val="Calibri"/>
            <family val="2"/>
          </rPr>
          <t xml:space="preserve">Source: The Case Studies with Intel vPro processor technology report shows 14 percent of software problems receiving a desktop visit.  </t>
        </r>
      </text>
    </comment>
    <comment ref="G14" authorId="0">
      <text>
        <r>
          <rPr>
            <sz val="9"/>
            <color indexed="18"/>
            <rFont val="Calibri"/>
            <family val="2"/>
          </rPr>
          <t>Our estimate of call volume.</t>
        </r>
      </text>
    </comment>
    <comment ref="G15" authorId="0">
      <text>
        <r>
          <rPr>
            <sz val="9"/>
            <color indexed="18"/>
            <rFont val="Calibri"/>
            <family val="2"/>
          </rPr>
          <t>Our estimate of desk-side visit needs.</t>
        </r>
      </text>
    </comment>
    <comment ref="G16" authorId="0">
      <text>
        <r>
          <rPr>
            <sz val="9"/>
            <color indexed="18"/>
            <rFont val="Calibri"/>
            <family val="2"/>
          </rPr>
          <t xml:space="preserve">We assume no software problems require the user to swap the client hardware. </t>
        </r>
      </text>
    </comment>
    <comment ref="G22" authorId="0">
      <text>
        <r>
          <rPr>
            <sz val="9"/>
            <color indexed="18"/>
            <rFont val="Calibri"/>
            <family val="2"/>
          </rPr>
          <t xml:space="preserve">In a well-managed enterprise, hardware problems usually require only one desktop visit. Additional visits are required if the help desk is unable to poll the client or in cases when the remote problem diagnosis was incorrect and IT needs to install additional or different parts than originally specified. </t>
        </r>
      </text>
    </comment>
    <comment ref="G23" authorId="0">
      <text>
        <r>
          <rPr>
            <sz val="9"/>
            <color indexed="18"/>
            <rFont val="Calibri"/>
            <family val="2"/>
          </rPr>
          <t xml:space="preserve">Our estimate of call volume. </t>
        </r>
      </text>
    </comment>
    <comment ref="G24" authorId="0">
      <text>
        <r>
          <rPr>
            <sz val="9"/>
            <color indexed="18"/>
            <rFont val="Calibri"/>
            <family val="2"/>
          </rPr>
          <t xml:space="preserve">Our estimate of desk-side visit needs. </t>
        </r>
      </text>
    </comment>
    <comment ref="G25" authorId="0">
      <text>
        <r>
          <rPr>
            <sz val="9"/>
            <color indexed="18"/>
            <rFont val="Calibri"/>
            <family val="2"/>
          </rPr>
          <t xml:space="preserve">We assume some instances where it will be more efficient for the user to swap the client hardware than to wait for repair. </t>
        </r>
      </text>
    </comment>
    <comment ref="K30" authorId="0">
      <text>
        <r>
          <rPr>
            <sz val="9"/>
            <color indexed="18"/>
            <rFont val="Calibri"/>
            <family val="2"/>
          </rPr>
          <t xml:space="preserve">We assume a help desk with three levels of support. First level support staff answer initial call. If they cannot solve the problem quickly, they bump it up to more technical second level support. If they can't resolve problem, either a desk-side visit is scheduled or the technician walks the client through a hardware swap and the technician uses management software to install an image on the client. </t>
        </r>
      </text>
    </comment>
    <comment ref="K33" authorId="0">
      <text>
        <r>
          <rPr>
            <sz val="9"/>
            <color indexed="18"/>
            <rFont val="Calibri"/>
            <family val="2"/>
          </rPr>
          <t>Our estimate of the success rate of 2nd level in solving the problem without needing to schedule a reimage or desk-side visit.</t>
        </r>
      </text>
    </comment>
    <comment ref="K36" authorId="0">
      <text>
        <r>
          <rPr>
            <sz val="9"/>
            <color indexed="18"/>
            <rFont val="Calibri"/>
            <family val="2"/>
          </rPr>
          <t xml:space="preserve">Our estimate of desk-side visit costs. The biggest factors in these costs tend to be travel time for support staff and user downtime. The Case Studies with Intel vPro Technology paper calculates wide ranges for downtime reporting average user downtime, software issue, onsite (minutes) is 114 (range 30 to 180) for non-vPro clients and 19 for vPro clients. Average user downtime, software issue, remote (minutes) is 982.5 (range 90 to 2,160) for non-vPro clients and 18.75 for vPro clients. Average user downtime, hardware issue, onsite (minutes) 1240 (range 120 to 2,160) for non-vPro clients and 365 for vPro clients. Average user downtime, hardware issue, remote (minutes) is 2,880 (range 720 to 4,320) for non-vPro clients and 995 for vPro clients. We assume our well-managed non-vPro clients will beat the estimate in this paper. </t>
        </r>
      </text>
    </comment>
    <comment ref="K39" authorId="0">
      <text>
        <r>
          <rPr>
            <sz val="9"/>
            <color indexed="18"/>
            <rFont val="Calibri"/>
            <family val="2"/>
          </rPr>
          <t xml:space="preserve">The EDS paper shows 75 minutes for a build for rich client. The Intel Training white paper estimates 45-60 minutes for a build. Thin clients take less time to build because they have less software. We estimate 60 minutes imaging time. User downtime includes that time plus time for the initial help desk plus some time to swap the hardware. </t>
        </r>
      </text>
    </comment>
    <comment ref="G44" authorId="0">
      <text>
        <r>
          <rPr>
            <sz val="9"/>
            <color indexed="18"/>
            <rFont val="Calibri"/>
            <family val="2"/>
          </rPr>
          <t xml:space="preserve">Annual costs calculated by multiplying the total cost of the response scenario from the previous table by the sum of the hardware problems resolved and software problems resolved by this response scenario from the previous two tables. The annual per-client cost figure is the annual cost for all 8,000 clients from the columns at the right divided by the total number of clients. </t>
        </r>
      </text>
    </comment>
  </commentList>
</comments>
</file>

<file path=xl/comments7.xml><?xml version="1.0" encoding="utf-8"?>
<comments xmlns="http://schemas.openxmlformats.org/spreadsheetml/2006/main">
  <authors>
    <author>Allyn Vogel</author>
  </authors>
  <commentList>
    <comment ref="G11" authorId="0">
      <text>
        <r>
          <rPr>
            <sz val="9"/>
            <color indexed="18"/>
            <rFont val="Calibri"/>
            <family val="2"/>
          </rPr>
          <t xml:space="preserve">Our estimate of time to load image remotely. Each additional configuration adds cost. </t>
        </r>
      </text>
    </comment>
    <comment ref="G14" authorId="0">
      <text>
        <r>
          <rPr>
            <sz val="9"/>
            <color indexed="18"/>
            <rFont val="Calibri"/>
            <family val="2"/>
          </rPr>
          <t xml:space="preserve">Our estimate of application load time.
</t>
        </r>
      </text>
    </comment>
    <comment ref="G17" authorId="0">
      <text>
        <r>
          <rPr>
            <sz val="9"/>
            <color indexed="18"/>
            <rFont val="Calibri"/>
            <family val="2"/>
          </rPr>
          <t xml:space="preserve">Our estimate of user-state migration time.
</t>
        </r>
      </text>
    </comment>
    <comment ref="G20" authorId="0">
      <text>
        <r>
          <rPr>
            <sz val="9"/>
            <color indexed="18"/>
            <rFont val="Calibri"/>
            <family val="2"/>
          </rPr>
          <t xml:space="preserve">Our estimate of costs to set up equipment, install software agents, and ship the system.
</t>
        </r>
      </text>
    </comment>
    <comment ref="G23" authorId="0">
      <text>
        <r>
          <rPr>
            <sz val="9"/>
            <color indexed="18"/>
            <rFont val="Calibri"/>
            <family val="2"/>
          </rPr>
          <t xml:space="preserve">Our estimate of disposal time and cost to return the equipment to transport the client hardware.
</t>
        </r>
      </text>
    </comment>
    <comment ref="J29" authorId="0">
      <text>
        <r>
          <rPr>
            <sz val="9"/>
            <color indexed="18"/>
            <rFont val="Calibri"/>
            <family val="2"/>
          </rPr>
          <t xml:space="preserve">Our estimate of the cost of a desk-side visit to repair a move or add problem. 
</t>
        </r>
      </text>
    </comment>
    <comment ref="E35" authorId="0">
      <text>
        <r>
          <rPr>
            <sz val="9"/>
            <color indexed="18"/>
            <rFont val="Calibri"/>
            <family val="2"/>
          </rPr>
          <t>Costs from previous table for image loading, application loading, user-state migration, and installing agents and shipping system.</t>
        </r>
      </text>
    </comment>
    <comment ref="E36" authorId="0">
      <text>
        <r>
          <rPr>
            <sz val="9"/>
            <color indexed="18"/>
            <rFont val="Calibri"/>
            <family val="2"/>
          </rPr>
          <t xml:space="preserve">Costs from previous table for image loading, application loading, user-state migration, and installing agents and shipping system.
</t>
        </r>
      </text>
    </comment>
    <comment ref="E37" authorId="0">
      <text>
        <r>
          <rPr>
            <sz val="9"/>
            <color indexed="18"/>
            <rFont val="Calibri"/>
            <family val="2"/>
          </rPr>
          <t xml:space="preserve">Cost of desk-side visit to remediate move, add, delete problems from the Costs for on-site move or add problem resolution.
</t>
        </r>
      </text>
    </comment>
    <comment ref="E38" authorId="0">
      <text>
        <r>
          <rPr>
            <sz val="9"/>
            <color indexed="18"/>
            <rFont val="Calibri"/>
            <family val="2"/>
          </rPr>
          <t xml:space="preserve">Disposal costs from the costs for remote move, add, delete tasks table.
</t>
        </r>
      </text>
    </comment>
    <comment ref="G43" authorId="0">
      <text>
        <r>
          <rPr>
            <sz val="9"/>
            <color indexed="18"/>
            <rFont val="Calibri"/>
            <family val="2"/>
          </rPr>
          <t xml:space="preserve">Annual cost for all clients sums the move cost for all moved clients to the remediation costs for failed moves. Annual per client costs divide that cost by the total number of clients. The Move, Add, Delete details table on the Questionnaire tab calculates the number of moved clients.
</t>
        </r>
      </text>
    </comment>
    <comment ref="G44" authorId="0">
      <text>
        <r>
          <rPr>
            <sz val="9"/>
            <color indexed="18"/>
            <rFont val="Calibri"/>
            <family val="2"/>
          </rPr>
          <t xml:space="preserve">Annual cost for all clients sums the move cost for all added clients to the remediation costs for failed moves. Annual per client costs divide that cost by the total number of clients. The Move, Add, Delete details table on the Questionnaire tab calculates the number of added clients.
</t>
        </r>
      </text>
    </comment>
    <comment ref="G45" authorId="0">
      <text>
        <r>
          <rPr>
            <sz val="9"/>
            <color indexed="18"/>
            <rFont val="Calibri"/>
            <family val="2"/>
          </rPr>
          <t xml:space="preserve">Multiplies the per client delete costs by number of deletes (from the Questionnaire tab).
</t>
        </r>
      </text>
    </comment>
    <comment ref="G46" authorId="0">
      <text>
        <r>
          <rPr>
            <sz val="9"/>
            <color indexed="18"/>
            <rFont val="Calibri"/>
            <family val="2"/>
          </rPr>
          <t xml:space="preserve">Totals the move, add, and delete costs.
</t>
        </r>
      </text>
    </comment>
  </commentList>
</comments>
</file>

<file path=xl/comments8.xml><?xml version="1.0" encoding="utf-8"?>
<comments xmlns="http://schemas.openxmlformats.org/spreadsheetml/2006/main">
  <authors>
    <author>Allyn Vogel</author>
  </authors>
  <commentList>
    <comment ref="G12" authorId="0">
      <text>
        <r>
          <rPr>
            <sz val="9"/>
            <color indexed="18"/>
            <rFont val="Calibri"/>
            <family val="2"/>
          </rPr>
          <t xml:space="preserve">Successful completion rate is equal to the average percentage of clients accessible remotely by management tools on Questionnaire tab. We assume remaining clients require a manual audit.
</t>
        </r>
      </text>
    </comment>
    <comment ref="G15" authorId="0">
      <text>
        <r>
          <rPr>
            <sz val="9"/>
            <color indexed="18"/>
            <rFont val="Calibri"/>
            <family val="2"/>
          </rPr>
          <t xml:space="preserve">Remediation of non-compliant systems section estimates the percentage of systems that require each of three types of remediation. IT using management tools can correct most compliance problems by updating out-of-compliance software, deleting unlicensed software, or other corrective measures. The remaining problems require either the user or IT to fix the problem desk side.
</t>
        </r>
      </text>
    </comment>
    <comment ref="J23" authorId="0">
      <text>
        <r>
          <rPr>
            <sz val="9"/>
            <color indexed="18"/>
            <rFont val="Calibri"/>
            <family val="2"/>
          </rPr>
          <t xml:space="preserve">Compliance audit costs are similar to those for asset inventories. The automated audit requires some setup time. Costs are low if remediation costs can be contained.
</t>
        </r>
      </text>
    </comment>
  </commentList>
</comments>
</file>

<file path=xl/comments9.xml><?xml version="1.0" encoding="utf-8"?>
<comments xmlns="http://schemas.openxmlformats.org/spreadsheetml/2006/main">
  <authors>
    <author>Allyn Vogel</author>
  </authors>
  <commentList>
    <comment ref="G12" authorId="0">
      <text>
        <r>
          <rPr>
            <sz val="9"/>
            <color indexed="18"/>
            <rFont val="Calibri"/>
            <family val="2"/>
          </rPr>
          <t xml:space="preserve">If the initial calls do not solve the problem, the IT technicians can schedule a deskside visit or arrange for the user to swap the client system with a new system that IT then reimages. 
</t>
        </r>
      </text>
    </comment>
    <comment ref="G33" authorId="0">
      <text>
        <r>
          <rPr>
            <sz val="9"/>
            <color indexed="18"/>
            <rFont val="Calibri"/>
            <family val="2"/>
          </rPr>
          <t xml:space="preserve">Remote remediation saves on high cost of desk-side visits.  
</t>
        </r>
      </text>
    </comment>
    <comment ref="G60" authorId="0">
      <text>
        <r>
          <rPr>
            <sz val="9"/>
            <color indexed="18"/>
            <rFont val="Calibri"/>
            <family val="2"/>
          </rPr>
          <t xml:space="preserve">Calculated based on values in the previous tables.
</t>
        </r>
      </text>
    </comment>
    <comment ref="K41" authorId="0">
      <text>
        <r>
          <rPr>
            <sz val="9"/>
            <color indexed="18"/>
            <rFont val="Calibri"/>
            <family val="2"/>
          </rPr>
          <t xml:space="preserve">Remote remediation saves on high cost of desk-side visits.  
</t>
        </r>
      </text>
    </comment>
    <comment ref="G13" authorId="0">
      <text>
        <r>
          <rPr>
            <sz val="9"/>
            <color indexed="18"/>
            <rFont val="Calibri"/>
            <family val="2"/>
          </rPr>
          <t xml:space="preserve">Number of infections (per year) calculated by multiplying percentage of infections times number of annual infections from the Questionnaire tab.
</t>
        </r>
      </text>
    </comment>
  </commentList>
</comments>
</file>

<file path=xl/sharedStrings.xml><?xml version="1.0" encoding="utf-8"?>
<sst xmlns="http://schemas.openxmlformats.org/spreadsheetml/2006/main" count="696" uniqueCount="305">
  <si>
    <t>No</t>
  </si>
  <si>
    <t>Server-based computing with thin clients</t>
  </si>
  <si>
    <t>Well-managed Intel vPro/Centrino Pro</t>
  </si>
  <si>
    <t>Lists</t>
  </si>
  <si>
    <t xml:space="preserve">Yes </t>
  </si>
  <si>
    <t>Yes_No</t>
  </si>
  <si>
    <t>Client patch distributions details</t>
  </si>
  <si>
    <t>Automatic remote batch patch install</t>
  </si>
  <si>
    <t>Total</t>
  </si>
  <si>
    <t>Total annual patch distributions</t>
  </si>
  <si>
    <t xml:space="preserve">Remediation: End-user manual install </t>
  </si>
  <si>
    <t xml:space="preserve">Patch preparation and testing </t>
  </si>
  <si>
    <t xml:space="preserve">Software patches and updates </t>
  </si>
  <si>
    <t>Help desk services and support</t>
  </si>
  <si>
    <t>Help desk services and support summary</t>
  </si>
  <si>
    <t>Server patch distributions details</t>
  </si>
  <si>
    <t xml:space="preserve">Remediation: Remote patch installation triggered by connect </t>
  </si>
  <si>
    <t>Remediation: Remote patch installation triggered on connect</t>
  </si>
  <si>
    <t>Annual per client cost</t>
  </si>
  <si>
    <t>Help desk support and services</t>
  </si>
  <si>
    <t>Software patches and updates</t>
  </si>
  <si>
    <t>Compliance</t>
  </si>
  <si>
    <t>Security</t>
  </si>
  <si>
    <t>Move, add, delete</t>
  </si>
  <si>
    <t>Help desk support and services worksheets</t>
  </si>
  <si>
    <t>Number of help desk calls per year per client</t>
  </si>
  <si>
    <t>Level 1 support time (average in minutes)</t>
  </si>
  <si>
    <t>Level 2 support time (average in minutes)</t>
  </si>
  <si>
    <t>Level 3 travel (average in minutes)</t>
  </si>
  <si>
    <t>User downtime (average in minutes)</t>
  </si>
  <si>
    <t>Return client to support center (cost)</t>
  </si>
  <si>
    <t>Total cost for response scenario</t>
  </si>
  <si>
    <t>Costs for help desk problem resolution scenarios (per incident)</t>
  </si>
  <si>
    <t>Total costs for help desk support and services</t>
  </si>
  <si>
    <t>Problem resolved remotely in 1st call</t>
  </si>
  <si>
    <t>Problem resolved remotely in 2nd call</t>
  </si>
  <si>
    <t>Problem resolved with user hardware swap and return and IT remote reimage</t>
  </si>
  <si>
    <t>Number of hardware-related calls</t>
  </si>
  <si>
    <t>Number of software-related calls</t>
  </si>
  <si>
    <t>Success rate of remote asset inventory</t>
  </si>
  <si>
    <t>Asset inventory completed remotely</t>
  </si>
  <si>
    <t>Manual asset inventory</t>
  </si>
  <si>
    <t>Number clients inventoried by method</t>
  </si>
  <si>
    <t>Remote asset inventory (cost for enterprise-wide remote inventory)</t>
  </si>
  <si>
    <t>Manual asset inventory (cost per client)</t>
  </si>
  <si>
    <t>Annual costs  for move, add, delete tasks</t>
  </si>
  <si>
    <t>Image loading</t>
  </si>
  <si>
    <t>Application loading</t>
  </si>
  <si>
    <t>Move</t>
  </si>
  <si>
    <t>Add</t>
  </si>
  <si>
    <t>Delete</t>
  </si>
  <si>
    <t>Total system adds per year</t>
  </si>
  <si>
    <t>Total system moves per year</t>
  </si>
  <si>
    <t>Total system deletes per year</t>
  </si>
  <si>
    <t>Disposal</t>
  </si>
  <si>
    <t>Deployment staff time (average in minutes)</t>
  </si>
  <si>
    <t>Additional cost per configuration</t>
  </si>
  <si>
    <t>Remote delete</t>
  </si>
  <si>
    <t>Remote add</t>
  </si>
  <si>
    <t xml:space="preserve">Remote move </t>
  </si>
  <si>
    <t>Patch preparation and testing (per patch distribution)</t>
  </si>
  <si>
    <t>Automatic remote batch patch install (per patch distribution)</t>
  </si>
  <si>
    <t>Cost to return client to support center</t>
  </si>
  <si>
    <t>Security cost summary</t>
  </si>
  <si>
    <t>Move, add, delete cost summary</t>
  </si>
  <si>
    <t>Number of client systems</t>
  </si>
  <si>
    <t>Software patches and updates summary</t>
  </si>
  <si>
    <t xml:space="preserve"> </t>
  </si>
  <si>
    <t>Where to go from here</t>
  </si>
  <si>
    <t>Go to tab</t>
  </si>
  <si>
    <t>Patching</t>
  </si>
  <si>
    <t>Support</t>
  </si>
  <si>
    <t>Inventory</t>
  </si>
  <si>
    <t>MAD</t>
  </si>
  <si>
    <t>View and print more detailed results summaries</t>
  </si>
  <si>
    <t>Fine tune enterprise description to reflect your corporation</t>
  </si>
  <si>
    <t>Fine tune costs for patching tasks</t>
  </si>
  <si>
    <t>Fine tune costs for help desk and support tasks</t>
  </si>
  <si>
    <t>Fine tune costs for asset inventory tasks</t>
  </si>
  <si>
    <t>Fine tune costs for client move, add, and delete tasks</t>
  </si>
  <si>
    <t>Fine tune costs for compliance tasks</t>
  </si>
  <si>
    <t>Fine tune costs for security tasks</t>
  </si>
  <si>
    <t>Asset inventory</t>
  </si>
  <si>
    <t>Individual categories</t>
  </si>
  <si>
    <t>Asset inventory cost summary</t>
  </si>
  <si>
    <t>Total  annual costs for Asset inventory tasks</t>
  </si>
  <si>
    <t>Asset inventory worksheets</t>
  </si>
  <si>
    <t>Asset inventory details</t>
  </si>
  <si>
    <t>Summary</t>
  </si>
  <si>
    <t>Level 1 support staff time (average in minutes)</t>
  </si>
  <si>
    <t>Level 2 support staff time (average in minutes)</t>
  </si>
  <si>
    <t>Level 3 support staff desk-side time (average in minutes)</t>
  </si>
  <si>
    <t>Remote reimage
(level 2 support staff time average in minutes)</t>
  </si>
  <si>
    <t>Software problems resolved by type of response scenario</t>
  </si>
  <si>
    <t>Hardware problems resolved by type of response scenario</t>
  </si>
  <si>
    <t>Help desk support and services call counts</t>
  </si>
  <si>
    <t>Cost to return client to support center and repair there</t>
  </si>
  <si>
    <t>Manageability costs</t>
  </si>
  <si>
    <t>Well-managed Intel vPro/ Centrino Pro</t>
  </si>
  <si>
    <t>Client replacement schedule (in years)</t>
  </si>
  <si>
    <t>Annual growth rate in client count</t>
  </si>
  <si>
    <t>Staffing costs</t>
  </si>
  <si>
    <t>Per year</t>
  </si>
  <si>
    <t>Level 2 support staff time 
Additional time for each configuration</t>
  </si>
  <si>
    <t>Patch distributions details</t>
  </si>
  <si>
    <t>Server patch problem remediation</t>
  </si>
  <si>
    <t>Total patch distribution costs per patch distribution</t>
  </si>
  <si>
    <t>Total costs for patch management tasks</t>
  </si>
  <si>
    <t>Client patch problem remediation</t>
  </si>
  <si>
    <t>Annual costs for each patch management task (per patch distribution)</t>
  </si>
  <si>
    <t>Client patch distribution</t>
  </si>
  <si>
    <t>Server patch distribution</t>
  </si>
  <si>
    <t>Help desk support and services tasks costs</t>
  </si>
  <si>
    <t>Platform-specific client and server inputs</t>
  </si>
  <si>
    <t>Number of sites</t>
  </si>
  <si>
    <t>Number of supported applications</t>
  </si>
  <si>
    <t>Overview</t>
  </si>
  <si>
    <t>If you want to…</t>
  </si>
  <si>
    <t>Annual per-client cost</t>
  </si>
  <si>
    <t>Manageability costs (annual per-client costs)</t>
  </si>
  <si>
    <t>Asset inventory tasks
(annual per-client cost)</t>
  </si>
  <si>
    <t>Software patches and updates summary 
(per-client cost)</t>
  </si>
  <si>
    <t>Remediation: Unscheduled desk-side visit</t>
  </si>
  <si>
    <t xml:space="preserve">Remediation: Scheduled desk-side visit (off-hours) </t>
  </si>
  <si>
    <t>Desk-side visit 
(level 3 support staff desk-side time average in minutes)</t>
  </si>
  <si>
    <t>Number of client configurations</t>
  </si>
  <si>
    <t>Number of working days per year</t>
  </si>
  <si>
    <t>Average end-user rate</t>
  </si>
  <si>
    <t>Deployment staff cost (burdened rate)</t>
  </si>
  <si>
    <t>Well-managed Intel vPro/
Centrino Pro</t>
  </si>
  <si>
    <t>Number of client systems per server</t>
  </si>
  <si>
    <t>Number of servers</t>
  </si>
  <si>
    <t>Number of annual unscheduled patch distributions (usually in response to virus threat)</t>
  </si>
  <si>
    <t>Number of systems requiring each remediation</t>
  </si>
  <si>
    <t>Number of software problems resolved</t>
  </si>
  <si>
    <t>Number of hardware problems resolved</t>
  </si>
  <si>
    <t>Average percentage of client configurations targeted per distribution</t>
  </si>
  <si>
    <t>Average percentage of server configurations targeted per distribution</t>
  </si>
  <si>
    <t>Average percentage of clients targeted for each patch distribution</t>
  </si>
  <si>
    <t>Average percentage of servers targeted for each patch distribution</t>
  </si>
  <si>
    <t>Average number of client configurations patched per distribution</t>
  </si>
  <si>
    <t>Average number of server configurations patched</t>
  </si>
  <si>
    <t>Average number of clients targeted for each distribution</t>
  </si>
  <si>
    <t>Average number of servers targeted for each distribution</t>
  </si>
  <si>
    <t>Average number of servers with remote patch distribution failures</t>
  </si>
  <si>
    <t>Remediation: Scheduled desk-side visit (off hours) (per client)</t>
  </si>
  <si>
    <t>Percentage of software problems resolved</t>
  </si>
  <si>
    <t>Desk-side visit
(level 3 support staff travel  time average in minutes)</t>
  </si>
  <si>
    <t>Asset inventory tasks
(annual cost for all clients)</t>
  </si>
  <si>
    <t>Number of systems replaced per year</t>
  </si>
  <si>
    <t>Number of additional systems per year</t>
  </si>
  <si>
    <t>Percentage of system moves per year</t>
  </si>
  <si>
    <r>
      <t xml:space="preserve">Help desk services and support tasks
</t>
    </r>
    <r>
      <rPr>
        <b/>
        <sz val="10"/>
        <color indexed="9"/>
        <rFont val="Calibri"/>
        <family val="2"/>
      </rPr>
      <t>(annual cost for all clients)</t>
    </r>
  </si>
  <si>
    <r>
      <t xml:space="preserve">Help desk services and support tasks
</t>
    </r>
    <r>
      <rPr>
        <b/>
        <sz val="10"/>
        <color indexed="9"/>
        <rFont val="Calibri"/>
        <family val="2"/>
      </rPr>
      <t>(annual per-client cost)</t>
    </r>
  </si>
  <si>
    <t>Annual asset inventory task costs</t>
  </si>
  <si>
    <t>Asset inventory summary (per-client cost)</t>
  </si>
  <si>
    <t>Move, add, delete summary (per-client cost)</t>
  </si>
  <si>
    <t>Number of server configurations</t>
  </si>
  <si>
    <t>Security worksheets</t>
  </si>
  <si>
    <t xml:space="preserve">Remediation: Scheduled desk-side visit (off hours) </t>
  </si>
  <si>
    <t>Percentage of systems that fail remote patch distribution by type of remediation</t>
  </si>
  <si>
    <t>Percentage of failed systems 
requiring each remediation</t>
  </si>
  <si>
    <t>Level 3 support staff travel time (average in minutes)</t>
  </si>
  <si>
    <t>Percentage of hardware problems resolved</t>
  </si>
  <si>
    <t>Help desk support and services summary
(per-client cost)</t>
  </si>
  <si>
    <t>Percentage of calls that are hardware related</t>
  </si>
  <si>
    <t>Percentage of calls that are software related</t>
  </si>
  <si>
    <t>Security summary
(per-client cost)</t>
  </si>
  <si>
    <t>Problem resolved remotely in first call</t>
  </si>
  <si>
    <t>Problem resolved remotely in second call</t>
  </si>
  <si>
    <t>Problem resolved with one desk-side visit</t>
  </si>
  <si>
    <t>First call (level 1 support staff time average in minutes)</t>
  </si>
  <si>
    <t>Second call (level 2 support staff time average in minutes)</t>
  </si>
  <si>
    <t>Number of annual infections</t>
  </si>
  <si>
    <t>Level 3 on-site time (average in minutes)</t>
  </si>
  <si>
    <t>Compliance worksheets</t>
  </si>
  <si>
    <t>Software patches and updates worksheets</t>
  </si>
  <si>
    <t>Average percentage of incidents where infection prevented</t>
  </si>
  <si>
    <t>Average percentage of incidents where infection contained</t>
  </si>
  <si>
    <t>Average percentage of incidents where infection not contained</t>
  </si>
  <si>
    <t>Percent infections targeting OS and applications on servers</t>
  </si>
  <si>
    <t>Client infection rate</t>
  </si>
  <si>
    <t>Infections targeting applications or files on client systems</t>
  </si>
  <si>
    <t>Infection targets</t>
  </si>
  <si>
    <t xml:space="preserve">Client infection response </t>
  </si>
  <si>
    <t>Client infections resolved by type of response scenario (per client)</t>
  </si>
  <si>
    <t>Security Infection penetration (per incident)</t>
  </si>
  <si>
    <t>Number of infections (per year)</t>
  </si>
  <si>
    <t>Number of client infections resolved (per year)</t>
  </si>
  <si>
    <t xml:space="preserve">Number of clients infected annually </t>
  </si>
  <si>
    <t xml:space="preserve">Clients infected if infection contained </t>
  </si>
  <si>
    <t xml:space="preserve">Average percentage of clients infected if infection not contained </t>
  </si>
  <si>
    <t>Average number of client systems infected annually</t>
  </si>
  <si>
    <t>Clients experiencing downtime for each incident</t>
  </si>
  <si>
    <t>Costs for security problem resolution scenarios (per incident)</t>
  </si>
  <si>
    <t>Total costs for security support and services</t>
  </si>
  <si>
    <t>Server patched and repaired (user downtime)</t>
  </si>
  <si>
    <t>Costs for asset inventory scenarios</t>
  </si>
  <si>
    <t>Clients inventoried by asset inventory scenario</t>
  </si>
  <si>
    <t>Percent clients inventoried by scenario</t>
  </si>
  <si>
    <t>Server infections</t>
  </si>
  <si>
    <t>Number of clients affected annually</t>
  </si>
  <si>
    <t>Server infection resolved by IT server-side</t>
  </si>
  <si>
    <t>Security infections</t>
  </si>
  <si>
    <t>Move, add, delete details</t>
  </si>
  <si>
    <t>Compliance summary (per-client cost)</t>
  </si>
  <si>
    <t>Compliance details</t>
  </si>
  <si>
    <t>Compliance audit completed remotely</t>
  </si>
  <si>
    <t>Manual compliance audit</t>
  </si>
  <si>
    <t>Success rate of compliance audit</t>
  </si>
  <si>
    <t>Clients inventoried by compliance scenario</t>
  </si>
  <si>
    <t>Automatic remediation of non-compliant system</t>
  </si>
  <si>
    <t>Manual remediation of non-compliant system (by IT)</t>
  </si>
  <si>
    <t>Manual remediation of non-compliant system (by user)</t>
  </si>
  <si>
    <t>Compliance audit</t>
  </si>
  <si>
    <t>Remediation of non-compliant systems</t>
  </si>
  <si>
    <t>Costs for compliance scenarios</t>
  </si>
  <si>
    <t>Manual remediation of non-compliant system (IT)</t>
  </si>
  <si>
    <t>Manual remediation of non-compliant system (user)</t>
  </si>
  <si>
    <t>Annual compliance task costs</t>
  </si>
  <si>
    <t>Security costs</t>
  </si>
  <si>
    <t>Security tasks
(annual per-client cost)</t>
  </si>
  <si>
    <t>Security tasks
(annual cost for all clients)</t>
  </si>
  <si>
    <t>Software patches and updates costs 
(annual per-client cost)</t>
  </si>
  <si>
    <t>Compliance tasks
(annual per-client cost)</t>
  </si>
  <si>
    <t>Compliance tasks
(annual cost for all clients)</t>
  </si>
  <si>
    <t>Move, add, delete tasks
(annual per-client cost)</t>
  </si>
  <si>
    <t>Average percentage of clients accessible remotely by management tools</t>
  </si>
  <si>
    <t>Average percentage of servers accessible remotely by management tools</t>
  </si>
  <si>
    <t>Per hour</t>
  </si>
  <si>
    <t>Per minute</t>
  </si>
  <si>
    <t>Total cost for response scenario (per incident)</t>
  </si>
  <si>
    <t>Number of asset inventories per year</t>
  </si>
  <si>
    <t>Problem resolved with one or more desk-side visits</t>
  </si>
  <si>
    <t>Average number desk-side visits to resolve hardware-related problems (for problems that require visits)</t>
  </si>
  <si>
    <t>Problem resolved with one  or more desk-side visits</t>
  </si>
  <si>
    <t>Number of regularly scheduled patch distributions per year</t>
  </si>
  <si>
    <t>Average number of clients with remote patch distribution failures (per distribution)</t>
  </si>
  <si>
    <t>Percentage of servers not accessible remotely</t>
  </si>
  <si>
    <t>Number of systems requiring each remediation (per distribution)</t>
  </si>
  <si>
    <t xml:space="preserve">Remediation: Hands-on repair </t>
  </si>
  <si>
    <t>Costs for client  patches and updates tasks</t>
  </si>
  <si>
    <t>Number clients affected by each server patch distribution failure</t>
  </si>
  <si>
    <t>NA</t>
  </si>
  <si>
    <t>Remediation: Remote patch installation triggered by connect (per client)</t>
  </si>
  <si>
    <t>Remediation: End-user manual install (per client)</t>
  </si>
  <si>
    <t>Remediation: Unscheduled desk-side visit (per client)</t>
  </si>
  <si>
    <t>Patch preparation and testing</t>
  </si>
  <si>
    <t>Remediation: Hands-on server repair (per server/per patch distribution)</t>
  </si>
  <si>
    <t>Level 3 support staff server-side time (average in minutes)</t>
  </si>
  <si>
    <t>User downtime (average  per affected user in minutes)</t>
  </si>
  <si>
    <t>Costs for server patches and updates tasks</t>
  </si>
  <si>
    <t>Patch management task costs</t>
  </si>
  <si>
    <t>Additional deployment failures</t>
  </si>
  <si>
    <t>Move, add, delete costs per MAD client</t>
  </si>
  <si>
    <t>Move, add, delete (MAD) worksheets</t>
  </si>
  <si>
    <t>Costs for  remote move, add, delete tasks (per system)</t>
  </si>
  <si>
    <t>Number of adds that require desk-side IT visits to remediate deployment failures</t>
  </si>
  <si>
    <t>Number of moves that require desk-side IT visits to remediate deployment failures</t>
  </si>
  <si>
    <t>Deploying hardware (shipping and handling)</t>
  </si>
  <si>
    <t>Installing agents and shipping system</t>
  </si>
  <si>
    <t>Desk-side remediation</t>
  </si>
  <si>
    <t>Costs for on-site move or add problem resolution  (per incident)</t>
  </si>
  <si>
    <t>Average number of desk-side visits required to resolve security-related problems (for problems that require visits)</t>
  </si>
  <si>
    <t>Percentage of infections</t>
  </si>
  <si>
    <t>Percentage of clients</t>
  </si>
  <si>
    <t>Percentage of clients not accessible remotely</t>
  </si>
  <si>
    <t>Total costs for move, add, delete tasks</t>
  </si>
  <si>
    <t>Average number of desk-side visits required to resolve software-related problems (for problems that require visits)</t>
  </si>
  <si>
    <t>Problem resolved with one or more desk-side visits (costs per visit)</t>
  </si>
  <si>
    <t>Percentage of accessible clients with inventory failures</t>
  </si>
  <si>
    <t>Number of compliance audits per year</t>
  </si>
  <si>
    <t xml:space="preserve">Percentage of clients </t>
  </si>
  <si>
    <t xml:space="preserve">Number of clients </t>
  </si>
  <si>
    <t>Total  annual costs for asset inventory tasks</t>
  </si>
  <si>
    <t>Percentage of infections
(each column should total 100%)</t>
  </si>
  <si>
    <t>User-state migration</t>
  </si>
  <si>
    <t>Total annual per-client costs for asset inventory tasks</t>
  </si>
  <si>
    <t>Total annual per-client cost for move, add, delete tasks</t>
  </si>
  <si>
    <t>Total annual per-client cost for security support and services</t>
  </si>
  <si>
    <t>Total annual per-client cost for help desk support and services tasks</t>
  </si>
  <si>
    <t>Software patches and updates costs                                                                                                                                                                                                                                                           (annual cost for all clients)</t>
  </si>
  <si>
    <t>Total annual per-client cost for patch management tasks</t>
  </si>
  <si>
    <t>Total annual per-client cost for asset inventory tasks</t>
  </si>
  <si>
    <t>Percentage of systems needing remediation (per audit)</t>
  </si>
  <si>
    <t xml:space="preserve">Level 1 help desk cost (burdened rate) </t>
  </si>
  <si>
    <t xml:space="preserve">Level 2 help desk cost (burdened rate) </t>
  </si>
  <si>
    <t>Level 3 help desk cost (burdened rate)</t>
  </si>
  <si>
    <t>Level 1 support staff time average in minutes)</t>
  </si>
  <si>
    <t>Level 2 support staff time average in minutes)</t>
  </si>
  <si>
    <t>Problem resolved remotely by level 1 support staff</t>
  </si>
  <si>
    <t>Problem resolved remotely by level 2 support staff</t>
  </si>
  <si>
    <t xml:space="preserve">  </t>
  </si>
  <si>
    <t>Percentage of accessible servers with patching failures</t>
  </si>
  <si>
    <t>Percentage of accessible clients with patch distribution failures</t>
  </si>
  <si>
    <t>Questionnaire</t>
  </si>
  <si>
    <t>Corporate information questionnaire</t>
  </si>
  <si>
    <t>Total (first two columns should each total 100 percent)</t>
  </si>
  <si>
    <t xml:space="preserve">Percentage of security incidents resolved
</t>
  </si>
  <si>
    <t>Total (first two columns should total 100%)</t>
  </si>
  <si>
    <t>Basic corporate information</t>
  </si>
  <si>
    <t>Basic assumption about enterprise</t>
  </si>
  <si>
    <t>Move, add, delete tasks
(annual cost for all clients)</t>
  </si>
  <si>
    <t>Compliance cost summary</t>
  </si>
  <si>
    <t>Remediation: Hands-on server repair</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</si>
</sst>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_(&quot;$&quot;* #,##0.00_);_(&quot;$&quot;* \(#,##0.00\);_(&quot;$&quot;* &quot;-&quot;_);_(@_)"/>
    <numFmt numFmtId="167" formatCode="&quot;$&quot;#,##0"/>
    <numFmt numFmtId="168" formatCode="_(&quot;$&quot;* #,##0_);_(&quot;$&quot;* \(#,##0\);_(&quot;$&quot;* &quot;-&quot;??_);_(@_)"/>
    <numFmt numFmtId="169" formatCode="\$#,##0"/>
    <numFmt numFmtId="170" formatCode="[$-409]dddd\,\ mmmm\ dd\,\ yyyy"/>
    <numFmt numFmtId="171" formatCode="[$-409]h:mm:ss\ AM/PM"/>
    <numFmt numFmtId="172" formatCode="&quot;$&quot;#,##0.0"/>
    <numFmt numFmtId="173" formatCode="&quot;Yes&quot;;&quot;Yes&quot;;&quot;No&quot;"/>
    <numFmt numFmtId="174" formatCode="&quot;True&quot;;&quot;True&quot;;&quot;False&quot;"/>
    <numFmt numFmtId="175" formatCode="&quot;On&quot;;&quot;On&quot;;&quot;Off&quot;"/>
    <numFmt numFmtId="176" formatCode="[$€-2]\ #,##0.00_);[Red]\([$€-2]\ #,##0.00\)"/>
    <numFmt numFmtId="177" formatCode="0.0"/>
    <numFmt numFmtId="178" formatCode="0.000"/>
    <numFmt numFmtId="179" formatCode="0.000%"/>
    <numFmt numFmtId="180" formatCode="#,##0.0"/>
    <numFmt numFmtId="181" formatCode="&quot;$&quot;#,##0.000"/>
    <numFmt numFmtId="182" formatCode="&quot;$&quot;#,##0.0000"/>
    <numFmt numFmtId="183" formatCode="0.0000"/>
    <numFmt numFmtId="184" formatCode="0.00000"/>
    <numFmt numFmtId="185" formatCode="0.000000"/>
  </numFmts>
  <fonts count="55">
    <font>
      <sz val="11"/>
      <color indexed="8"/>
      <name val="Calibri"/>
      <family val="2"/>
    </font>
    <font>
      <b/>
      <sz val="11"/>
      <color indexed="9"/>
      <name val="Calibri"/>
      <family val="2"/>
    </font>
    <font>
      <sz val="10"/>
      <color indexed="8"/>
      <name val="Calibri"/>
      <family val="2"/>
    </font>
    <font>
      <sz val="10"/>
      <color indexed="56"/>
      <name val="Calibri"/>
      <family val="2"/>
    </font>
    <font>
      <b/>
      <sz val="12"/>
      <color indexed="56"/>
      <name val="Calibri"/>
      <family val="2"/>
    </font>
    <font>
      <sz val="9"/>
      <color indexed="8"/>
      <name val="Calibri"/>
      <family val="2"/>
    </font>
    <font>
      <b/>
      <sz val="14"/>
      <color indexed="56"/>
      <name val="Calibri"/>
      <family val="2"/>
    </font>
    <font>
      <b/>
      <sz val="9"/>
      <color indexed="56"/>
      <name val="Calibri"/>
      <family val="2"/>
    </font>
    <font>
      <sz val="14"/>
      <color indexed="8"/>
      <name val="Calibri"/>
      <family val="2"/>
    </font>
    <font>
      <sz val="9"/>
      <color indexed="56"/>
      <name val="Calibri"/>
      <family val="2"/>
    </font>
    <font>
      <b/>
      <sz val="9"/>
      <color indexed="9"/>
      <name val="Calibri"/>
      <family val="2"/>
    </font>
    <font>
      <sz val="9"/>
      <color indexed="62"/>
      <name val="Calibri"/>
      <family val="2"/>
    </font>
    <font>
      <b/>
      <sz val="9"/>
      <color indexed="62"/>
      <name val="Calibri"/>
      <family val="2"/>
    </font>
    <font>
      <b/>
      <sz val="10"/>
      <color indexed="9"/>
      <name val="Calibri"/>
      <family val="2"/>
    </font>
    <font>
      <vertAlign val="superscript"/>
      <sz val="9"/>
      <color indexed="8"/>
      <name val="Calibri"/>
      <family val="2"/>
    </font>
    <font>
      <b/>
      <sz val="11"/>
      <color indexed="56"/>
      <name val="Calibri"/>
      <family val="2"/>
    </font>
    <font>
      <u val="single"/>
      <sz val="11"/>
      <color indexed="12"/>
      <name val="Calibri"/>
      <family val="2"/>
    </font>
    <font>
      <b/>
      <sz val="11"/>
      <color indexed="8"/>
      <name val="Calibri"/>
      <family val="2"/>
    </font>
    <font>
      <sz val="11"/>
      <color indexed="56"/>
      <name val="Calibri"/>
      <family val="2"/>
    </font>
    <font>
      <u val="single"/>
      <sz val="9"/>
      <color indexed="12"/>
      <name val="Calibri"/>
      <family val="2"/>
    </font>
    <font>
      <b/>
      <sz val="9"/>
      <color indexed="8"/>
      <name val="Calibri"/>
      <family val="2"/>
    </font>
    <font>
      <b/>
      <sz val="10"/>
      <color indexed="56"/>
      <name val="Calibri"/>
      <family val="2"/>
    </font>
    <font>
      <vertAlign val="superscript"/>
      <sz val="10"/>
      <name val="Calibri"/>
      <family val="2"/>
    </font>
    <font>
      <vertAlign val="superscript"/>
      <sz val="10"/>
      <color indexed="56"/>
      <name val="Calibri"/>
      <family val="2"/>
    </font>
    <font>
      <vertAlign val="superscript"/>
      <sz val="10"/>
      <color indexed="8"/>
      <name val="Calibri"/>
      <family val="2"/>
    </font>
    <font>
      <vertAlign val="superscript"/>
      <sz val="11"/>
      <color indexed="8"/>
      <name val="Calibri"/>
      <family val="2"/>
    </font>
    <font>
      <vertAlign val="superscript"/>
      <sz val="9"/>
      <color indexed="56"/>
      <name val="Calibri"/>
      <family val="2"/>
    </font>
    <font>
      <vertAlign val="superscript"/>
      <sz val="11"/>
      <color indexed="56"/>
      <name val="Calibri"/>
      <family val="2"/>
    </font>
    <font>
      <sz val="9"/>
      <color indexed="1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4"/>
      <color indexed="8"/>
      <name val="Calibri"/>
      <family val="2"/>
    </font>
    <font>
      <sz val="16"/>
      <color indexed="8"/>
      <name val="Arial"/>
      <family val="2"/>
    </font>
    <font>
      <sz val="10"/>
      <color indexed="8"/>
      <name val="Arial"/>
      <family val="2"/>
    </font>
    <font>
      <b/>
      <sz val="12"/>
      <color indexed="8"/>
      <name val="Arial"/>
      <family val="2"/>
    </font>
    <font>
      <b/>
      <sz val="10.5"/>
      <color indexed="8"/>
      <name val="Calibri"/>
      <family val="2"/>
    </font>
    <font>
      <b/>
      <sz val="10"/>
      <color indexed="8"/>
      <name val="Calibri"/>
      <family val="2"/>
    </font>
    <font>
      <sz val="8"/>
      <color indexed="56"/>
      <name val="Calibri"/>
      <family val="2"/>
    </font>
    <font>
      <sz val="8"/>
      <color indexed="8"/>
      <name val="Calibri"/>
      <family val="2"/>
    </font>
    <font>
      <b/>
      <sz val="8"/>
      <color indexed="56"/>
      <name val="Calibri"/>
      <family val="2"/>
    </font>
    <font>
      <sz val="9"/>
      <color indexed="10"/>
      <name val="Calibri"/>
      <family val="2"/>
    </font>
    <font>
      <sz val="8"/>
      <color indexed="18"/>
      <name val="Calibri"/>
      <family val="2"/>
    </font>
    <font>
      <b/>
      <sz val="8"/>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22"/>
        <bgColor indexed="64"/>
      </patternFill>
    </fill>
    <fill>
      <patternFill patternType="solid">
        <fgColor indexed="62"/>
        <bgColor indexed="64"/>
      </patternFill>
    </fill>
    <fill>
      <patternFill patternType="solid">
        <fgColor indexed="6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56"/>
      </left>
      <right style="thin">
        <color indexed="56"/>
      </right>
      <top style="thin">
        <color indexed="56"/>
      </top>
      <bottom style="thin">
        <color indexed="56"/>
      </bottom>
    </border>
    <border>
      <left style="thin">
        <color indexed="56"/>
      </left>
      <right style="thin">
        <color indexed="56"/>
      </right>
      <top>
        <color indexed="63"/>
      </top>
      <bottom style="thin">
        <color indexed="56"/>
      </bottom>
    </border>
    <border>
      <left style="thin">
        <color indexed="56"/>
      </left>
      <right style="thin">
        <color indexed="56"/>
      </right>
      <top style="thin">
        <color indexed="56"/>
      </top>
      <bottom>
        <color indexed="63"/>
      </bottom>
    </border>
    <border>
      <left style="thin">
        <color indexed="56"/>
      </left>
      <right>
        <color indexed="63"/>
      </right>
      <top style="thin">
        <color indexed="56"/>
      </top>
      <bottom style="thin">
        <color indexed="56"/>
      </bottom>
    </border>
    <border>
      <left style="thin"/>
      <right style="thin"/>
      <top style="thin"/>
      <bottom style="thin"/>
    </border>
    <border>
      <left style="thin">
        <color indexed="23"/>
      </left>
      <right style="thin">
        <color indexed="56"/>
      </right>
      <top style="thin">
        <color indexed="56"/>
      </top>
      <bottom style="thin">
        <color indexed="56"/>
      </bottom>
    </border>
    <border>
      <left style="thin">
        <color indexed="56"/>
      </left>
      <right style="thin">
        <color indexed="23"/>
      </right>
      <top style="thin">
        <color indexed="56"/>
      </top>
      <bottom style="thin">
        <color indexed="56"/>
      </bottom>
    </border>
    <border>
      <left style="thin">
        <color indexed="56"/>
      </left>
      <right>
        <color indexed="63"/>
      </right>
      <top style="thin">
        <color indexed="56"/>
      </top>
      <bottom>
        <color indexed="63"/>
      </bottom>
    </border>
    <border>
      <left>
        <color indexed="63"/>
      </left>
      <right>
        <color indexed="63"/>
      </right>
      <top style="thin">
        <color indexed="56"/>
      </top>
      <bottom style="thin">
        <color indexed="56"/>
      </bottom>
    </border>
    <border>
      <left>
        <color indexed="63"/>
      </left>
      <right style="thin">
        <color indexed="56"/>
      </right>
      <top style="thin">
        <color indexed="56"/>
      </top>
      <bottom style="thin">
        <color indexed="56"/>
      </bottom>
    </border>
    <border>
      <left/>
      <right/>
      <top style="medium">
        <color indexed="56"/>
      </top>
      <bottom/>
    </border>
    <border>
      <left/>
      <right/>
      <top/>
      <bottom style="medium">
        <color indexed="56"/>
      </bottom>
    </border>
    <border>
      <left style="thin">
        <color indexed="62"/>
      </left>
      <right>
        <color indexed="63"/>
      </right>
      <top style="thin">
        <color indexed="62"/>
      </top>
      <bottom style="thin">
        <color indexed="56"/>
      </bottom>
    </border>
    <border>
      <left>
        <color indexed="63"/>
      </left>
      <right>
        <color indexed="63"/>
      </right>
      <top style="thin">
        <color indexed="62"/>
      </top>
      <bottom style="thin">
        <color indexed="56"/>
      </bottom>
    </border>
    <border>
      <left>
        <color indexed="63"/>
      </left>
      <right style="thin">
        <color indexed="62"/>
      </right>
      <top style="thin">
        <color indexed="62"/>
      </top>
      <bottom style="thin">
        <color indexed="56"/>
      </bottom>
    </border>
    <border>
      <left style="thin">
        <color indexed="56"/>
      </left>
      <right>
        <color indexed="63"/>
      </right>
      <top>
        <color indexed="63"/>
      </top>
      <bottom style="thin">
        <color indexed="56"/>
      </bottom>
    </border>
    <border>
      <left>
        <color indexed="63"/>
      </left>
      <right>
        <color indexed="63"/>
      </right>
      <top>
        <color indexed="63"/>
      </top>
      <bottom style="thin">
        <color indexed="56"/>
      </bottom>
    </border>
    <border>
      <left style="thin">
        <color indexed="56"/>
      </left>
      <right>
        <color indexed="63"/>
      </right>
      <top style="thin">
        <color indexed="56"/>
      </top>
      <bottom style="thin"/>
    </border>
    <border>
      <left>
        <color indexed="63"/>
      </left>
      <right>
        <color indexed="63"/>
      </right>
      <top style="thin">
        <color indexed="56"/>
      </top>
      <bottom style="thin"/>
    </border>
    <border>
      <left>
        <color indexed="63"/>
      </left>
      <right style="thin">
        <color indexed="56"/>
      </right>
      <top style="thin">
        <color indexed="56"/>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31" fillId="20" borderId="1" applyNumberFormat="0" applyAlignment="0" applyProtection="0"/>
    <xf numFmtId="0" fontId="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4"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7" fillId="7" borderId="1" applyNumberFormat="0" applyAlignment="0" applyProtection="0"/>
    <xf numFmtId="0" fontId="38" fillId="0" borderId="6" applyNumberFormat="0" applyFill="0" applyAlignment="0" applyProtection="0"/>
    <xf numFmtId="0" fontId="39" fillId="22" borderId="0" applyNumberFormat="0" applyBorder="0" applyAlignment="0" applyProtection="0"/>
    <xf numFmtId="0" fontId="0" fillId="23" borderId="7" applyNumberFormat="0" applyFont="0" applyAlignment="0" applyProtection="0"/>
    <xf numFmtId="0" fontId="40" fillId="20"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17" fillId="0" borderId="9" applyNumberFormat="0" applyFill="0" applyAlignment="0" applyProtection="0"/>
    <xf numFmtId="0" fontId="42" fillId="0" borderId="0" applyNumberFormat="0" applyFill="0" applyBorder="0" applyAlignment="0" applyProtection="0"/>
  </cellStyleXfs>
  <cellXfs count="348">
    <xf numFmtId="0" fontId="0" fillId="0" borderId="0" xfId="0" applyAlignment="1">
      <alignment/>
    </xf>
    <xf numFmtId="0" fontId="6" fillId="24" borderId="0" xfId="0" applyFont="1" applyFill="1" applyBorder="1" applyAlignment="1">
      <alignment vertical="center"/>
    </xf>
    <xf numFmtId="0" fontId="5" fillId="0" borderId="0" xfId="0" applyFont="1" applyAlignment="1">
      <alignment/>
    </xf>
    <xf numFmtId="0" fontId="7" fillId="2" borderId="10" xfId="54" applyFont="1" applyFill="1" applyBorder="1" applyAlignment="1">
      <alignment wrapText="1"/>
    </xf>
    <xf numFmtId="0" fontId="7" fillId="25" borderId="10" xfId="0" applyFont="1" applyFill="1" applyBorder="1" applyAlignment="1">
      <alignment wrapText="1"/>
    </xf>
    <xf numFmtId="0" fontId="9" fillId="2" borderId="10" xfId="54" applyFont="1" applyFill="1" applyBorder="1" applyAlignment="1">
      <alignment wrapText="1"/>
    </xf>
    <xf numFmtId="0" fontId="9" fillId="2" borderId="10" xfId="54" applyFont="1" applyFill="1" applyBorder="1" applyAlignment="1">
      <alignment/>
    </xf>
    <xf numFmtId="0" fontId="7" fillId="25" borderId="10" xfId="0" applyFont="1" applyFill="1" applyBorder="1" applyAlignment="1">
      <alignment wrapText="1"/>
    </xf>
    <xf numFmtId="0" fontId="18" fillId="0" borderId="0" xfId="0" applyFont="1" applyAlignment="1">
      <alignment/>
    </xf>
    <xf numFmtId="0" fontId="9" fillId="25" borderId="10" xfId="0" applyFont="1" applyFill="1" applyBorder="1" applyAlignment="1">
      <alignment/>
    </xf>
    <xf numFmtId="0" fontId="9" fillId="25" borderId="10" xfId="54" applyFont="1" applyFill="1" applyBorder="1" applyAlignment="1">
      <alignment horizontal="left" vertical="top" wrapText="1"/>
    </xf>
    <xf numFmtId="0" fontId="7" fillId="25" borderId="10" xfId="0" applyFont="1" applyFill="1" applyBorder="1" applyAlignment="1">
      <alignment horizontal="left" vertical="top" wrapText="1"/>
    </xf>
    <xf numFmtId="0" fontId="7" fillId="2" borderId="10" xfId="0" applyFont="1" applyFill="1" applyBorder="1" applyAlignment="1">
      <alignment wrapText="1"/>
    </xf>
    <xf numFmtId="0" fontId="9" fillId="25" borderId="10" xfId="0" applyFont="1" applyFill="1" applyBorder="1" applyAlignment="1">
      <alignment horizontal="left" vertical="top" wrapText="1"/>
    </xf>
    <xf numFmtId="0" fontId="9" fillId="25" borderId="10" xfId="0" applyFont="1" applyFill="1" applyBorder="1" applyAlignment="1">
      <alignment wrapText="1"/>
    </xf>
    <xf numFmtId="0" fontId="9" fillId="2" borderId="10" xfId="54" applyFont="1" applyFill="1" applyBorder="1" applyAlignment="1">
      <alignment horizontal="left" vertical="top" wrapText="1"/>
    </xf>
    <xf numFmtId="0" fontId="7" fillId="25" borderId="10" xfId="0" applyFont="1" applyFill="1" applyBorder="1" applyAlignment="1">
      <alignment horizontal="left" vertical="top" wrapText="1"/>
    </xf>
    <xf numFmtId="167" fontId="9" fillId="20" borderId="10" xfId="44" applyNumberFormat="1" applyFont="1" applyFill="1" applyBorder="1" applyAlignment="1">
      <alignment wrapText="1"/>
    </xf>
    <xf numFmtId="167" fontId="7" fillId="20" borderId="10" xfId="44" applyNumberFormat="1" applyFont="1" applyFill="1" applyBorder="1" applyAlignment="1">
      <alignment wrapText="1"/>
    </xf>
    <xf numFmtId="3" fontId="9" fillId="20" borderId="10" xfId="54" applyNumberFormat="1" applyFont="1" applyFill="1" applyBorder="1" applyAlignment="1">
      <alignment/>
    </xf>
    <xf numFmtId="164" fontId="9" fillId="20" borderId="10" xfId="44" applyNumberFormat="1" applyFont="1" applyFill="1" applyBorder="1" applyAlignment="1">
      <alignment/>
    </xf>
    <xf numFmtId="166" fontId="9" fillId="20" borderId="10" xfId="44" applyNumberFormat="1" applyFont="1" applyFill="1" applyBorder="1" applyAlignment="1">
      <alignment/>
    </xf>
    <xf numFmtId="44" fontId="9" fillId="20" borderId="10" xfId="44" applyFont="1" applyFill="1" applyBorder="1" applyAlignment="1">
      <alignment/>
    </xf>
    <xf numFmtId="164" fontId="9" fillId="26" borderId="10" xfId="40" applyNumberFormat="1" applyFont="1" applyFill="1" applyBorder="1" applyAlignment="1">
      <alignment/>
    </xf>
    <xf numFmtId="0" fontId="7" fillId="2" borderId="10" xfId="0" applyFont="1" applyFill="1" applyBorder="1" applyAlignment="1">
      <alignment horizontal="left" vertical="top" wrapText="1"/>
    </xf>
    <xf numFmtId="0" fontId="9" fillId="25" borderId="10" xfId="54" applyFont="1" applyFill="1" applyBorder="1" applyAlignment="1">
      <alignment horizontal="left" vertical="top" wrapText="1"/>
    </xf>
    <xf numFmtId="0" fontId="7" fillId="25" borderId="11" xfId="0" applyFont="1" applyFill="1" applyBorder="1" applyAlignment="1">
      <alignment horizontal="center" wrapText="1"/>
    </xf>
    <xf numFmtId="0" fontId="7" fillId="25" borderId="10" xfId="0" applyFont="1" applyFill="1" applyBorder="1" applyAlignment="1">
      <alignment horizontal="left" wrapText="1"/>
    </xf>
    <xf numFmtId="0" fontId="5" fillId="0" borderId="0" xfId="0" applyFont="1" applyAlignment="1">
      <alignment/>
    </xf>
    <xf numFmtId="0" fontId="0" fillId="0" borderId="0" xfId="0" applyAlignment="1">
      <alignment/>
    </xf>
    <xf numFmtId="0" fontId="9" fillId="25" borderId="10" xfId="54" applyFont="1" applyFill="1" applyBorder="1" applyAlignment="1">
      <alignment horizontal="left" wrapText="1"/>
    </xf>
    <xf numFmtId="166" fontId="9" fillId="20" borderId="10" xfId="40" applyNumberFormat="1" applyFont="1" applyFill="1" applyBorder="1" applyAlignment="1">
      <alignment/>
    </xf>
    <xf numFmtId="0" fontId="7" fillId="25" borderId="10" xfId="0" applyFont="1" applyFill="1" applyBorder="1" applyAlignment="1">
      <alignment horizontal="left" wrapText="1"/>
    </xf>
    <xf numFmtId="164" fontId="9" fillId="20" borderId="10" xfId="40" applyNumberFormat="1" applyFont="1" applyFill="1" applyBorder="1" applyAlignment="1">
      <alignment/>
    </xf>
    <xf numFmtId="0" fontId="9" fillId="25" borderId="10" xfId="0" applyFont="1" applyFill="1" applyBorder="1" applyAlignment="1">
      <alignment horizontal="left" wrapText="1"/>
    </xf>
    <xf numFmtId="0" fontId="9" fillId="2" borderId="10" xfId="0" applyFont="1" applyFill="1" applyBorder="1" applyAlignment="1">
      <alignment/>
    </xf>
    <xf numFmtId="0" fontId="7" fillId="2" borderId="10" xfId="0" applyFont="1" applyFill="1" applyBorder="1" applyAlignment="1">
      <alignment/>
    </xf>
    <xf numFmtId="164" fontId="9" fillId="26" borderId="10" xfId="40" applyNumberFormat="1" applyFont="1" applyFill="1" applyBorder="1" applyAlignment="1">
      <alignment/>
    </xf>
    <xf numFmtId="164" fontId="9" fillId="20" borderId="10" xfId="0" applyNumberFormat="1" applyFont="1" applyFill="1" applyBorder="1" applyAlignment="1">
      <alignment/>
    </xf>
    <xf numFmtId="164" fontId="9" fillId="20" borderId="10" xfId="40" applyNumberFormat="1" applyFont="1" applyFill="1" applyBorder="1" applyAlignment="1">
      <alignment horizontal="right"/>
    </xf>
    <xf numFmtId="164" fontId="9" fillId="20" borderId="10" xfId="44" applyNumberFormat="1" applyFont="1" applyFill="1" applyBorder="1" applyAlignment="1">
      <alignment wrapText="1"/>
    </xf>
    <xf numFmtId="164" fontId="7" fillId="20" borderId="10" xfId="44" applyNumberFormat="1" applyFont="1" applyFill="1" applyBorder="1" applyAlignment="1">
      <alignment wrapText="1"/>
    </xf>
    <xf numFmtId="0" fontId="0" fillId="0" borderId="0" xfId="0" applyAlignment="1" applyProtection="1">
      <alignment/>
      <protection/>
    </xf>
    <xf numFmtId="0" fontId="0" fillId="0" borderId="0" xfId="0" applyAlignment="1" applyProtection="1">
      <alignment/>
      <protection locked="0"/>
    </xf>
    <xf numFmtId="0" fontId="0" fillId="24" borderId="0" xfId="0" applyFill="1" applyAlignment="1" applyProtection="1">
      <alignment/>
      <protection locked="0"/>
    </xf>
    <xf numFmtId="0" fontId="0" fillId="0" borderId="0" xfId="0" applyBorder="1" applyAlignment="1" applyProtection="1">
      <alignment/>
      <protection hidden="1" locked="0"/>
    </xf>
    <xf numFmtId="0" fontId="0" fillId="0" borderId="0" xfId="0" applyBorder="1" applyAlignment="1" applyProtection="1">
      <alignment wrapText="1"/>
      <protection hidden="1"/>
    </xf>
    <xf numFmtId="0" fontId="0" fillId="0" borderId="0" xfId="0" applyBorder="1" applyAlignment="1" applyProtection="1">
      <alignment/>
      <protection hidden="1"/>
    </xf>
    <xf numFmtId="0" fontId="2" fillId="0" borderId="0" xfId="0" applyFont="1" applyBorder="1" applyAlignment="1" applyProtection="1">
      <alignment/>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2" fillId="0" borderId="0" xfId="0" applyFont="1" applyBorder="1" applyAlignment="1" applyProtection="1">
      <alignment vertical="top" wrapText="1"/>
      <protection hidden="1"/>
    </xf>
    <xf numFmtId="0" fontId="2" fillId="0" borderId="0" xfId="0" applyFont="1" applyBorder="1" applyAlignment="1" applyProtection="1">
      <alignment horizontal="center" vertical="center"/>
      <protection hidden="1"/>
    </xf>
    <xf numFmtId="0" fontId="2" fillId="0" borderId="0" xfId="0" applyFont="1" applyBorder="1" applyAlignment="1" applyProtection="1">
      <alignment wrapText="1"/>
      <protection hidden="1"/>
    </xf>
    <xf numFmtId="0" fontId="15" fillId="2" borderId="0" xfId="0" applyFont="1" applyFill="1" applyBorder="1" applyAlignment="1" applyProtection="1">
      <alignment/>
      <protection hidden="1"/>
    </xf>
    <xf numFmtId="0" fontId="18" fillId="2" borderId="0" xfId="0" applyFont="1" applyFill="1" applyBorder="1" applyAlignment="1" applyProtection="1">
      <alignment/>
      <protection hidden="1"/>
    </xf>
    <xf numFmtId="0" fontId="16" fillId="2" borderId="0" xfId="53" applyFont="1" applyFill="1" applyBorder="1" applyAlignment="1" applyProtection="1">
      <alignment/>
      <protection hidden="1" locked="0"/>
    </xf>
    <xf numFmtId="0" fontId="2" fillId="0" borderId="0" xfId="0" applyFont="1" applyBorder="1" applyAlignment="1" applyProtection="1">
      <alignment/>
      <protection hidden="1"/>
    </xf>
    <xf numFmtId="0" fontId="16" fillId="2" borderId="0" xfId="53" applyFill="1" applyBorder="1" applyAlignment="1" applyProtection="1">
      <alignment/>
      <protection hidden="1" locked="0"/>
    </xf>
    <xf numFmtId="0" fontId="18" fillId="2" borderId="10" xfId="54" applyFont="1" applyFill="1" applyBorder="1" applyAlignment="1" applyProtection="1">
      <alignment wrapText="1"/>
      <protection hidden="1"/>
    </xf>
    <xf numFmtId="3" fontId="9" fillId="7" borderId="10" xfId="54" applyNumberFormat="1" applyFont="1" applyBorder="1" applyAlignment="1" applyProtection="1">
      <alignment/>
      <protection hidden="1" locked="0"/>
    </xf>
    <xf numFmtId="0" fontId="18" fillId="2" borderId="0" xfId="0" applyFont="1" applyFill="1" applyBorder="1" applyAlignment="1" applyProtection="1">
      <alignment/>
      <protection hidden="1"/>
    </xf>
    <xf numFmtId="0" fontId="0" fillId="0" borderId="0" xfId="0" applyAlignment="1" applyProtection="1">
      <alignment/>
      <protection hidden="1" locked="0"/>
    </xf>
    <xf numFmtId="0" fontId="5" fillId="0" borderId="0" xfId="0" applyFont="1" applyAlignment="1" applyProtection="1">
      <alignment horizontal="center"/>
      <protection hidden="1"/>
    </xf>
    <xf numFmtId="0" fontId="9" fillId="0" borderId="0" xfId="0" applyFont="1" applyAlignment="1" applyProtection="1">
      <alignment/>
      <protection hidden="1"/>
    </xf>
    <xf numFmtId="0" fontId="5" fillId="0" borderId="0" xfId="0" applyFont="1" applyAlignment="1" applyProtection="1">
      <alignment/>
      <protection hidden="1"/>
    </xf>
    <xf numFmtId="0" fontId="14" fillId="0" borderId="0" xfId="0" applyFont="1" applyAlignment="1" applyProtection="1">
      <alignment horizontal="left"/>
      <protection hidden="1"/>
    </xf>
    <xf numFmtId="0" fontId="5" fillId="0" borderId="0" xfId="0" applyFont="1" applyAlignment="1" applyProtection="1">
      <alignment/>
      <protection hidden="1"/>
    </xf>
    <xf numFmtId="0" fontId="9" fillId="2" borderId="10" xfId="54" applyFont="1" applyFill="1" applyBorder="1" applyAlignment="1" applyProtection="1">
      <alignment wrapText="1"/>
      <protection hidden="1"/>
    </xf>
    <xf numFmtId="3" fontId="11" fillId="7" borderId="1" xfId="54" applyNumberFormat="1" applyFont="1" applyAlignment="1" applyProtection="1">
      <alignment/>
      <protection hidden="1" locked="0"/>
    </xf>
    <xf numFmtId="0" fontId="23" fillId="0" borderId="0" xfId="0" applyFont="1" applyBorder="1" applyAlignment="1" applyProtection="1">
      <alignment horizontal="left"/>
      <protection hidden="1"/>
    </xf>
    <xf numFmtId="9" fontId="9" fillId="7" borderId="10" xfId="54" applyNumberFormat="1" applyFont="1" applyBorder="1" applyAlignment="1" applyProtection="1">
      <alignment wrapText="1"/>
      <protection hidden="1" locked="0"/>
    </xf>
    <xf numFmtId="0" fontId="9" fillId="2" borderId="10" xfId="54" applyFont="1" applyFill="1" applyBorder="1" applyAlignment="1" applyProtection="1">
      <alignment horizontal="left"/>
      <protection hidden="1"/>
    </xf>
    <xf numFmtId="1" fontId="11" fillId="7" borderId="10" xfId="54" applyNumberFormat="1" applyFont="1" applyBorder="1" applyAlignment="1" applyProtection="1">
      <alignment wrapText="1"/>
      <protection hidden="1" locked="0"/>
    </xf>
    <xf numFmtId="0" fontId="9" fillId="2" borderId="10" xfId="0" applyFont="1" applyFill="1" applyBorder="1" applyAlignment="1" applyProtection="1">
      <alignment/>
      <protection hidden="1"/>
    </xf>
    <xf numFmtId="0" fontId="9" fillId="0" borderId="0" xfId="0" applyFont="1" applyBorder="1" applyAlignment="1" applyProtection="1">
      <alignment/>
      <protection hidden="1"/>
    </xf>
    <xf numFmtId="0" fontId="9" fillId="2" borderId="10" xfId="0" applyFont="1" applyFill="1" applyBorder="1" applyAlignment="1" applyProtection="1">
      <alignment horizontal="left" vertical="top" wrapText="1"/>
      <protection hidden="1"/>
    </xf>
    <xf numFmtId="0" fontId="9" fillId="2" borderId="12" xfId="0" applyFont="1" applyFill="1" applyBorder="1" applyAlignment="1" applyProtection="1">
      <alignment/>
      <protection hidden="1"/>
    </xf>
    <xf numFmtId="0" fontId="9" fillId="0" borderId="0" xfId="0" applyFont="1" applyAlignment="1" applyProtection="1">
      <alignment/>
      <protection hidden="1"/>
    </xf>
    <xf numFmtId="0" fontId="9" fillId="2" borderId="13" xfId="0" applyFont="1" applyFill="1" applyBorder="1" applyAlignment="1" applyProtection="1">
      <alignment horizontal="left" vertical="top" wrapText="1"/>
      <protection hidden="1"/>
    </xf>
    <xf numFmtId="6" fontId="11" fillId="7" borderId="14" xfId="54" applyNumberFormat="1" applyFont="1" applyBorder="1" applyAlignment="1" applyProtection="1">
      <alignment/>
      <protection hidden="1" locked="0"/>
    </xf>
    <xf numFmtId="6" fontId="11" fillId="20" borderId="14" xfId="54" applyNumberFormat="1" applyFont="1" applyFill="1" applyBorder="1" applyAlignment="1" applyProtection="1">
      <alignment/>
      <protection hidden="1"/>
    </xf>
    <xf numFmtId="8" fontId="11" fillId="20" borderId="14" xfId="54" applyNumberFormat="1" applyFont="1" applyFill="1" applyBorder="1" applyAlignment="1" applyProtection="1">
      <alignment/>
      <protection hidden="1"/>
    </xf>
    <xf numFmtId="0" fontId="9" fillId="2" borderId="13" xfId="0" applyFont="1" applyFill="1" applyBorder="1" applyAlignment="1" applyProtection="1">
      <alignment horizontal="left" vertical="top" wrapText="1"/>
      <protection hidden="1"/>
    </xf>
    <xf numFmtId="8" fontId="9" fillId="0" borderId="0" xfId="0" applyNumberFormat="1" applyFont="1" applyAlignment="1" applyProtection="1">
      <alignment/>
      <protection hidden="1"/>
    </xf>
    <xf numFmtId="6" fontId="9" fillId="0" borderId="0" xfId="0" applyNumberFormat="1" applyFont="1" applyAlignment="1" applyProtection="1">
      <alignment/>
      <protection hidden="1"/>
    </xf>
    <xf numFmtId="6" fontId="9" fillId="0" borderId="0" xfId="0" applyNumberFormat="1" applyFont="1" applyAlignment="1" applyProtection="1">
      <alignment/>
      <protection hidden="1"/>
    </xf>
    <xf numFmtId="0" fontId="5" fillId="0" borderId="0" xfId="0" applyFont="1" applyAlignment="1" applyProtection="1">
      <alignment horizontal="left"/>
      <protection hidden="1"/>
    </xf>
    <xf numFmtId="0" fontId="9" fillId="0" borderId="0" xfId="0" applyFont="1" applyAlignment="1" applyProtection="1">
      <alignment/>
      <protection hidden="1"/>
    </xf>
    <xf numFmtId="0" fontId="7" fillId="25" borderId="10" xfId="54" applyFont="1" applyFill="1" applyBorder="1" applyAlignment="1" applyProtection="1">
      <alignment wrapText="1"/>
      <protection hidden="1"/>
    </xf>
    <xf numFmtId="0" fontId="7" fillId="25" borderId="10" xfId="0" applyFont="1" applyFill="1" applyBorder="1" applyAlignment="1" applyProtection="1">
      <alignment wrapText="1"/>
      <protection hidden="1"/>
    </xf>
    <xf numFmtId="0" fontId="9" fillId="0" borderId="0" xfId="0" applyFont="1" applyAlignment="1" applyProtection="1">
      <alignment/>
      <protection hidden="1"/>
    </xf>
    <xf numFmtId="0" fontId="5" fillId="0" borderId="0" xfId="0" applyFont="1" applyAlignment="1" applyProtection="1">
      <alignment/>
      <protection hidden="1"/>
    </xf>
    <xf numFmtId="0" fontId="9" fillId="2" borderId="10" xfId="54" applyFont="1" applyFill="1" applyBorder="1" applyAlignment="1" applyProtection="1">
      <alignment wrapText="1"/>
      <protection hidden="1"/>
    </xf>
    <xf numFmtId="9" fontId="9" fillId="7" borderId="10" xfId="54" applyNumberFormat="1" applyFont="1" applyBorder="1" applyAlignment="1" applyProtection="1">
      <alignment/>
      <protection hidden="1" locked="0"/>
    </xf>
    <xf numFmtId="3" fontId="9" fillId="7" borderId="10" xfId="54" applyNumberFormat="1" applyFont="1" applyBorder="1" applyAlignment="1" applyProtection="1">
      <alignment wrapText="1"/>
      <protection hidden="1" locked="0"/>
    </xf>
    <xf numFmtId="0" fontId="9" fillId="21" borderId="10" xfId="40" applyFont="1" applyFill="1" applyBorder="1" applyAlignment="1" applyProtection="1">
      <alignment/>
      <protection hidden="1"/>
    </xf>
    <xf numFmtId="0" fontId="9" fillId="25" borderId="10" xfId="54" applyFont="1" applyFill="1" applyBorder="1" applyAlignment="1" applyProtection="1">
      <alignment horizontal="left" wrapText="1"/>
      <protection hidden="1"/>
    </xf>
    <xf numFmtId="3" fontId="12" fillId="7" borderId="10" xfId="54" applyNumberFormat="1" applyFont="1" applyBorder="1" applyAlignment="1" applyProtection="1">
      <alignment wrapText="1"/>
      <protection hidden="1" locked="0"/>
    </xf>
    <xf numFmtId="3" fontId="9" fillId="20" borderId="10" xfId="40" applyNumberFormat="1" applyFont="1" applyFill="1" applyBorder="1" applyAlignment="1" applyProtection="1">
      <alignment wrapText="1"/>
      <protection hidden="1"/>
    </xf>
    <xf numFmtId="9" fontId="12" fillId="7" borderId="10" xfId="54" applyNumberFormat="1" applyFont="1" applyBorder="1" applyAlignment="1" applyProtection="1">
      <alignment wrapText="1"/>
      <protection hidden="1" locked="0"/>
    </xf>
    <xf numFmtId="0" fontId="9" fillId="20" borderId="10" xfId="40" applyFont="1" applyFill="1" applyBorder="1" applyAlignment="1" applyProtection="1">
      <alignment wrapText="1"/>
      <protection hidden="1"/>
    </xf>
    <xf numFmtId="9" fontId="11" fillId="7" borderId="10" xfId="54" applyNumberFormat="1" applyFont="1" applyBorder="1" applyAlignment="1" applyProtection="1">
      <alignment wrapText="1"/>
      <protection hidden="1" locked="0"/>
    </xf>
    <xf numFmtId="0" fontId="9" fillId="2" borderId="10" xfId="0" applyFont="1" applyFill="1" applyBorder="1" applyAlignment="1" applyProtection="1">
      <alignment horizontal="left" wrapText="1"/>
      <protection hidden="1"/>
    </xf>
    <xf numFmtId="9" fontId="11" fillId="7" borderId="15" xfId="54" applyNumberFormat="1" applyFont="1" applyBorder="1" applyAlignment="1" applyProtection="1">
      <alignment/>
      <protection hidden="1" locked="0"/>
    </xf>
    <xf numFmtId="0" fontId="14" fillId="0" borderId="0" xfId="0" applyFont="1" applyAlignment="1" applyProtection="1">
      <alignment horizontal="left"/>
      <protection hidden="1"/>
    </xf>
    <xf numFmtId="0" fontId="7" fillId="25" borderId="10" xfId="0" applyFont="1" applyFill="1" applyBorder="1" applyAlignment="1" applyProtection="1">
      <alignment horizontal="left" wrapText="1"/>
      <protection hidden="1"/>
    </xf>
    <xf numFmtId="0" fontId="9" fillId="25" borderId="10" xfId="54" applyFont="1" applyFill="1" applyBorder="1" applyAlignment="1" applyProtection="1">
      <alignment horizontal="left" vertical="top" wrapText="1"/>
      <protection hidden="1"/>
    </xf>
    <xf numFmtId="0" fontId="9" fillId="7" borderId="10" xfId="54" applyFont="1" applyBorder="1" applyAlignment="1" applyProtection="1">
      <alignment wrapText="1"/>
      <protection hidden="1" locked="0"/>
    </xf>
    <xf numFmtId="9" fontId="9" fillId="20" borderId="10" xfId="54" applyNumberFormat="1" applyFont="1" applyFill="1" applyBorder="1" applyAlignment="1" applyProtection="1">
      <alignment wrapText="1"/>
      <protection hidden="1"/>
    </xf>
    <xf numFmtId="3" fontId="9" fillId="20" borderId="10" xfId="40" applyNumberFormat="1" applyFont="1" applyFill="1" applyBorder="1" applyAlignment="1" applyProtection="1">
      <alignment wrapText="1"/>
      <protection hidden="1"/>
    </xf>
    <xf numFmtId="4" fontId="11" fillId="7" borderId="12" xfId="54" applyNumberFormat="1" applyFont="1" applyBorder="1" applyAlignment="1" applyProtection="1">
      <alignment wrapText="1"/>
      <protection hidden="1" locked="0"/>
    </xf>
    <xf numFmtId="4" fontId="11" fillId="7" borderId="10" xfId="54" applyNumberFormat="1" applyFont="1" applyBorder="1" applyAlignment="1" applyProtection="1">
      <alignment wrapText="1"/>
      <protection hidden="1" locked="0"/>
    </xf>
    <xf numFmtId="0" fontId="0" fillId="0" borderId="0" xfId="0" applyFont="1" applyAlignment="1" applyProtection="1">
      <alignment/>
      <protection hidden="1"/>
    </xf>
    <xf numFmtId="0" fontId="15" fillId="25" borderId="10" xfId="54" applyFont="1" applyFill="1" applyBorder="1" applyAlignment="1" applyProtection="1">
      <alignment wrapText="1"/>
      <protection hidden="1"/>
    </xf>
    <xf numFmtId="0" fontId="7" fillId="25" borderId="10" xfId="0" applyFont="1" applyFill="1" applyBorder="1" applyAlignment="1" applyProtection="1">
      <alignment horizontal="left" vertical="top" wrapText="1"/>
      <protection hidden="1"/>
    </xf>
    <xf numFmtId="9" fontId="11" fillId="7" borderId="10" xfId="54" applyNumberFormat="1" applyFont="1" applyBorder="1" applyAlignment="1" applyProtection="1">
      <alignment wrapText="1"/>
      <protection hidden="1" locked="0"/>
    </xf>
    <xf numFmtId="0" fontId="2" fillId="0" borderId="0" xfId="0" applyFont="1" applyAlignment="1" applyProtection="1">
      <alignment/>
      <protection hidden="1"/>
    </xf>
    <xf numFmtId="0" fontId="7" fillId="2" borderId="10" xfId="54" applyFont="1" applyFill="1" applyBorder="1" applyAlignment="1" applyProtection="1">
      <alignment wrapText="1"/>
      <protection hidden="1"/>
    </xf>
    <xf numFmtId="0" fontId="7" fillId="2" borderId="10" xfId="0" applyFont="1" applyFill="1" applyBorder="1" applyAlignment="1" applyProtection="1">
      <alignment wrapText="1"/>
      <protection hidden="1"/>
    </xf>
    <xf numFmtId="0" fontId="9" fillId="2" borderId="10" xfId="54" applyFont="1" applyFill="1" applyBorder="1" applyAlignment="1" applyProtection="1">
      <alignment horizontal="left" vertical="top" wrapText="1"/>
      <protection hidden="1"/>
    </xf>
    <xf numFmtId="9" fontId="9" fillId="20" borderId="10" xfId="40" applyNumberFormat="1" applyFont="1" applyFill="1" applyBorder="1" applyAlignment="1" applyProtection="1">
      <alignment wrapText="1"/>
      <protection hidden="1"/>
    </xf>
    <xf numFmtId="0" fontId="9" fillId="25" borderId="13" xfId="54" applyFont="1" applyFill="1" applyBorder="1" applyAlignment="1" applyProtection="1">
      <alignment horizontal="left" vertical="top" wrapText="1"/>
      <protection hidden="1"/>
    </xf>
    <xf numFmtId="1" fontId="9" fillId="7" borderId="10" xfId="54" applyNumberFormat="1" applyFont="1" applyBorder="1" applyAlignment="1" applyProtection="1">
      <alignment wrapText="1"/>
      <protection hidden="1" locked="0"/>
    </xf>
    <xf numFmtId="9" fontId="9" fillId="21" borderId="10" xfId="54" applyNumberFormat="1" applyFont="1" applyFill="1" applyBorder="1" applyAlignment="1" applyProtection="1">
      <alignment wrapText="1"/>
      <protection hidden="1"/>
    </xf>
    <xf numFmtId="4" fontId="37" fillId="7" borderId="16" xfId="54" applyNumberFormat="1" applyBorder="1" applyAlignment="1" applyProtection="1">
      <alignment wrapText="1"/>
      <protection hidden="1" locked="0"/>
    </xf>
    <xf numFmtId="4" fontId="37" fillId="7" borderId="15" xfId="54" applyNumberFormat="1" applyBorder="1" applyAlignment="1" applyProtection="1">
      <alignment wrapText="1"/>
      <protection hidden="1" locked="0"/>
    </xf>
    <xf numFmtId="0" fontId="0" fillId="0" borderId="0" xfId="0" applyAlignment="1" applyProtection="1">
      <alignment/>
      <protection hidden="1"/>
    </xf>
    <xf numFmtId="164" fontId="9" fillId="20" borderId="10" xfId="0" applyNumberFormat="1" applyFont="1" applyFill="1" applyBorder="1" applyAlignment="1" applyProtection="1">
      <alignment/>
      <protection hidden="1"/>
    </xf>
    <xf numFmtId="0" fontId="7" fillId="2" borderId="0" xfId="0" applyFont="1" applyFill="1" applyBorder="1" applyAlignment="1" applyProtection="1">
      <alignment/>
      <protection hidden="1"/>
    </xf>
    <xf numFmtId="0" fontId="19" fillId="2" borderId="0" xfId="53" applyFont="1" applyFill="1" applyBorder="1" applyAlignment="1" applyProtection="1">
      <alignment/>
      <protection hidden="1" locked="0"/>
    </xf>
    <xf numFmtId="0" fontId="19" fillId="2" borderId="0" xfId="53" applyFont="1" applyFill="1" applyBorder="1" applyAlignment="1" applyProtection="1">
      <alignment/>
      <protection hidden="1" locked="0"/>
    </xf>
    <xf numFmtId="0" fontId="5" fillId="0" borderId="0" xfId="0" applyFont="1" applyAlignment="1" applyProtection="1">
      <alignment horizontal="left"/>
      <protection hidden="1"/>
    </xf>
    <xf numFmtId="0" fontId="20" fillId="0" borderId="0" xfId="0" applyFont="1" applyAlignment="1" applyProtection="1">
      <alignment/>
      <protection hidden="1"/>
    </xf>
    <xf numFmtId="0" fontId="0" fillId="0" borderId="0" xfId="0" applyAlignment="1" applyProtection="1">
      <alignment wrapText="1"/>
      <protection hidden="1"/>
    </xf>
    <xf numFmtId="0" fontId="5" fillId="25" borderId="10" xfId="0" applyFont="1" applyFill="1" applyBorder="1" applyAlignment="1" applyProtection="1">
      <alignment horizontal="left"/>
      <protection hidden="1"/>
    </xf>
    <xf numFmtId="0" fontId="5" fillId="0" borderId="0" xfId="0" applyFont="1" applyAlignment="1" applyProtection="1">
      <alignment wrapText="1"/>
      <protection hidden="1"/>
    </xf>
    <xf numFmtId="0" fontId="5" fillId="0" borderId="0" xfId="0" applyFont="1" applyAlignment="1" applyProtection="1">
      <alignment/>
      <protection hidden="1"/>
    </xf>
    <xf numFmtId="0" fontId="9" fillId="25" borderId="10" xfId="54" applyFont="1" applyFill="1" applyBorder="1" applyAlignment="1" applyProtection="1">
      <alignment wrapText="1"/>
      <protection hidden="1"/>
    </xf>
    <xf numFmtId="9" fontId="9" fillId="20" borderId="10" xfId="54" applyNumberFormat="1" applyFont="1" applyFill="1" applyBorder="1" applyAlignment="1" applyProtection="1">
      <alignment/>
      <protection hidden="1"/>
    </xf>
    <xf numFmtId="9" fontId="37" fillId="7" borderId="1" xfId="54" applyNumberFormat="1" applyAlignment="1" applyProtection="1">
      <alignment/>
      <protection hidden="1" locked="0"/>
    </xf>
    <xf numFmtId="0" fontId="5" fillId="0" borderId="0" xfId="0" applyFont="1" applyAlignment="1" applyProtection="1">
      <alignment/>
      <protection hidden="1"/>
    </xf>
    <xf numFmtId="0" fontId="9" fillId="2" borderId="10" xfId="0" applyFont="1" applyFill="1" applyBorder="1" applyAlignment="1" applyProtection="1">
      <alignment wrapText="1"/>
      <protection hidden="1"/>
    </xf>
    <xf numFmtId="0" fontId="9" fillId="20" borderId="10" xfId="0" applyFont="1" applyFill="1" applyBorder="1" applyAlignment="1" applyProtection="1">
      <alignment/>
      <protection hidden="1"/>
    </xf>
    <xf numFmtId="0" fontId="7" fillId="25" borderId="10" xfId="54" applyFont="1" applyFill="1" applyBorder="1" applyAlignment="1" applyProtection="1">
      <alignment horizontal="left" wrapText="1"/>
      <protection hidden="1"/>
    </xf>
    <xf numFmtId="0" fontId="0" fillId="0" borderId="0" xfId="0" applyAlignment="1" applyProtection="1">
      <alignment/>
      <protection hidden="1"/>
    </xf>
    <xf numFmtId="0" fontId="9" fillId="25" borderId="10" xfId="54" applyFont="1" applyFill="1" applyBorder="1" applyAlignment="1" applyProtection="1">
      <alignment horizontal="left" vertical="top" wrapText="1"/>
      <protection hidden="1"/>
    </xf>
    <xf numFmtId="177" fontId="9" fillId="20" borderId="10" xfId="40" applyNumberFormat="1" applyFont="1" applyFill="1" applyBorder="1" applyAlignment="1" applyProtection="1">
      <alignment wrapText="1"/>
      <protection hidden="1"/>
    </xf>
    <xf numFmtId="9" fontId="9" fillId="20" borderId="10" xfId="54" applyNumberFormat="1" applyFont="1" applyFill="1" applyBorder="1" applyAlignment="1" applyProtection="1">
      <alignment/>
      <protection hidden="1"/>
    </xf>
    <xf numFmtId="9" fontId="37" fillId="7" borderId="1" xfId="54" applyNumberFormat="1" applyAlignment="1" applyProtection="1">
      <alignment/>
      <protection hidden="1" locked="0"/>
    </xf>
    <xf numFmtId="0" fontId="9" fillId="20" borderId="10" xfId="0" applyFont="1" applyFill="1" applyBorder="1" applyAlignment="1" applyProtection="1">
      <alignment/>
      <protection hidden="1"/>
    </xf>
    <xf numFmtId="3" fontId="11" fillId="20" borderId="10" xfId="54" applyNumberFormat="1" applyFont="1" applyFill="1" applyBorder="1" applyAlignment="1" applyProtection="1">
      <alignment/>
      <protection hidden="1"/>
    </xf>
    <xf numFmtId="0" fontId="2" fillId="0" borderId="0" xfId="0" applyFont="1" applyAlignment="1" applyProtection="1">
      <alignment/>
      <protection hidden="1"/>
    </xf>
    <xf numFmtId="0" fontId="3" fillId="25" borderId="12" xfId="0" applyFont="1" applyFill="1" applyBorder="1" applyAlignment="1" applyProtection="1">
      <alignment horizontal="center" wrapText="1"/>
      <protection hidden="1"/>
    </xf>
    <xf numFmtId="0" fontId="3" fillId="25" borderId="11" xfId="0" applyFont="1" applyFill="1" applyBorder="1" applyAlignment="1" applyProtection="1">
      <alignment horizontal="center" wrapText="1"/>
      <protection hidden="1"/>
    </xf>
    <xf numFmtId="0" fontId="7" fillId="25" borderId="10" xfId="0" applyFont="1" applyFill="1" applyBorder="1" applyAlignment="1" applyProtection="1">
      <alignment wrapText="1"/>
      <protection hidden="1"/>
    </xf>
    <xf numFmtId="0" fontId="9" fillId="25" borderId="10" xfId="0" applyFont="1" applyFill="1" applyBorder="1" applyAlignment="1" applyProtection="1">
      <alignment vertical="top" wrapText="1"/>
      <protection hidden="1"/>
    </xf>
    <xf numFmtId="9" fontId="11" fillId="7" borderId="10" xfId="54" applyNumberFormat="1" applyFont="1" applyBorder="1" applyAlignment="1" applyProtection="1">
      <alignment/>
      <protection hidden="1" locked="0"/>
    </xf>
    <xf numFmtId="177" fontId="9" fillId="20" borderId="10" xfId="40" applyNumberFormat="1" applyFont="1" applyFill="1" applyBorder="1" applyAlignment="1" applyProtection="1">
      <alignment/>
      <protection hidden="1"/>
    </xf>
    <xf numFmtId="0" fontId="9" fillId="25" borderId="10" xfId="0" applyFont="1" applyFill="1" applyBorder="1" applyAlignment="1" applyProtection="1">
      <alignment horizontal="left" vertical="top" wrapText="1"/>
      <protection hidden="1"/>
    </xf>
    <xf numFmtId="0" fontId="9" fillId="25" borderId="12" xfId="0" applyFont="1" applyFill="1" applyBorder="1" applyAlignment="1" applyProtection="1">
      <alignment horizontal="center" wrapText="1"/>
      <protection hidden="1"/>
    </xf>
    <xf numFmtId="0" fontId="9" fillId="25" borderId="11" xfId="0" applyFont="1" applyFill="1" applyBorder="1" applyAlignment="1" applyProtection="1">
      <alignment horizontal="center" wrapText="1"/>
      <protection hidden="1"/>
    </xf>
    <xf numFmtId="6" fontId="5" fillId="0" borderId="0" xfId="0" applyNumberFormat="1" applyFont="1" applyAlignment="1" applyProtection="1">
      <alignment/>
      <protection hidden="1"/>
    </xf>
    <xf numFmtId="0" fontId="7" fillId="25" borderId="10" xfId="0" applyFont="1" applyFill="1" applyBorder="1" applyAlignment="1" applyProtection="1">
      <alignment wrapText="1"/>
      <protection hidden="1"/>
    </xf>
    <xf numFmtId="0" fontId="9" fillId="25" borderId="10" xfId="0" applyFont="1" applyFill="1" applyBorder="1" applyAlignment="1" applyProtection="1">
      <alignment wrapText="1"/>
      <protection hidden="1"/>
    </xf>
    <xf numFmtId="3" fontId="12" fillId="7" borderId="10" xfId="54" applyNumberFormat="1" applyFont="1" applyBorder="1" applyAlignment="1" applyProtection="1">
      <alignment/>
      <protection hidden="1" locked="0"/>
    </xf>
    <xf numFmtId="3" fontId="11" fillId="7" borderId="10" xfId="54" applyNumberFormat="1" applyFont="1" applyBorder="1" applyAlignment="1" applyProtection="1">
      <alignment/>
      <protection hidden="1" locked="0"/>
    </xf>
    <xf numFmtId="164" fontId="9" fillId="20" borderId="10" xfId="40" applyNumberFormat="1" applyFont="1" applyFill="1" applyBorder="1" applyAlignment="1" applyProtection="1">
      <alignment/>
      <protection hidden="1"/>
    </xf>
    <xf numFmtId="167" fontId="11" fillId="7" borderId="10" xfId="54" applyNumberFormat="1" applyFont="1" applyBorder="1" applyAlignment="1" applyProtection="1">
      <alignment/>
      <protection hidden="1" locked="0"/>
    </xf>
    <xf numFmtId="0" fontId="22" fillId="0" borderId="0" xfId="0" applyFont="1" applyAlignment="1" applyProtection="1">
      <alignment/>
      <protection hidden="1"/>
    </xf>
    <xf numFmtId="164" fontId="22" fillId="0" borderId="0" xfId="0" applyNumberFormat="1" applyFont="1" applyAlignment="1" applyProtection="1">
      <alignment/>
      <protection hidden="1"/>
    </xf>
    <xf numFmtId="0" fontId="0" fillId="24" borderId="0" xfId="0" applyFill="1" applyAlignment="1" applyProtection="1">
      <alignment/>
      <protection hidden="1"/>
    </xf>
    <xf numFmtId="0" fontId="5" fillId="24" borderId="0" xfId="0" applyFont="1" applyFill="1" applyAlignment="1" applyProtection="1">
      <alignment/>
      <protection hidden="1"/>
    </xf>
    <xf numFmtId="0" fontId="9" fillId="25" borderId="12" xfId="0" applyFont="1" applyFill="1" applyBorder="1" applyAlignment="1" applyProtection="1">
      <alignment wrapText="1"/>
      <protection hidden="1"/>
    </xf>
    <xf numFmtId="3" fontId="11" fillId="7" borderId="12" xfId="54" applyNumberFormat="1" applyFont="1" applyBorder="1" applyAlignment="1" applyProtection="1">
      <alignment/>
      <protection hidden="1" locked="0"/>
    </xf>
    <xf numFmtId="164" fontId="9" fillId="20" borderId="12" xfId="40" applyNumberFormat="1" applyFont="1" applyFill="1" applyBorder="1" applyAlignment="1" applyProtection="1">
      <alignment/>
      <protection hidden="1"/>
    </xf>
    <xf numFmtId="0" fontId="9" fillId="25" borderId="11" xfId="0" applyFont="1" applyFill="1" applyBorder="1" applyAlignment="1" applyProtection="1">
      <alignment wrapText="1"/>
      <protection hidden="1"/>
    </xf>
    <xf numFmtId="3" fontId="12" fillId="7" borderId="11" xfId="54" applyNumberFormat="1" applyFont="1" applyBorder="1" applyAlignment="1" applyProtection="1">
      <alignment/>
      <protection hidden="1" locked="0"/>
    </xf>
    <xf numFmtId="3" fontId="11" fillId="7" borderId="11" xfId="54" applyNumberFormat="1" applyFont="1" applyBorder="1" applyAlignment="1" applyProtection="1">
      <alignment/>
      <protection hidden="1" locked="0"/>
    </xf>
    <xf numFmtId="164" fontId="9" fillId="20" borderId="11" xfId="40" applyNumberFormat="1" applyFont="1" applyFill="1" applyBorder="1" applyAlignment="1" applyProtection="1">
      <alignment/>
      <protection hidden="1"/>
    </xf>
    <xf numFmtId="164" fontId="5" fillId="0" borderId="0" xfId="0" applyNumberFormat="1" applyFont="1" applyAlignment="1" applyProtection="1">
      <alignment/>
      <protection hidden="1"/>
    </xf>
    <xf numFmtId="0" fontId="10" fillId="27" borderId="10" xfId="0" applyFont="1" applyFill="1" applyBorder="1" applyAlignment="1" applyProtection="1">
      <alignment horizontal="center"/>
      <protection hidden="1"/>
    </xf>
    <xf numFmtId="0" fontId="5" fillId="0" borderId="0" xfId="0" applyFont="1" applyAlignment="1" applyProtection="1">
      <alignment wrapText="1"/>
      <protection hidden="1"/>
    </xf>
    <xf numFmtId="0" fontId="5" fillId="0" borderId="0" xfId="0" applyFont="1" applyAlignment="1" applyProtection="1">
      <alignment/>
      <protection hidden="1"/>
    </xf>
    <xf numFmtId="164" fontId="9" fillId="20" borderId="10" xfId="40" applyNumberFormat="1" applyFont="1" applyFill="1" applyBorder="1" applyAlignment="1" applyProtection="1">
      <alignment/>
      <protection hidden="1"/>
    </xf>
    <xf numFmtId="0" fontId="9" fillId="25" borderId="10" xfId="0" applyFont="1" applyFill="1" applyBorder="1" applyAlignment="1" applyProtection="1">
      <alignment horizontal="left" wrapText="1"/>
      <protection hidden="1"/>
    </xf>
    <xf numFmtId="164" fontId="9" fillId="20" borderId="10" xfId="40" applyNumberFormat="1" applyFont="1" applyFill="1" applyBorder="1" applyAlignment="1" applyProtection="1">
      <alignment horizontal="right"/>
      <protection hidden="1"/>
    </xf>
    <xf numFmtId="0" fontId="7" fillId="25" borderId="12" xfId="0" applyFont="1" applyFill="1" applyBorder="1" applyAlignment="1" applyProtection="1">
      <alignment horizontal="center" wrapText="1"/>
      <protection hidden="1"/>
    </xf>
    <xf numFmtId="0" fontId="7" fillId="25" borderId="11" xfId="0" applyFont="1" applyFill="1" applyBorder="1" applyAlignment="1" applyProtection="1">
      <alignment horizontal="center" wrapText="1"/>
      <protection hidden="1"/>
    </xf>
    <xf numFmtId="0" fontId="9" fillId="25" borderId="10" xfId="0" applyFont="1" applyFill="1" applyBorder="1" applyAlignment="1" applyProtection="1">
      <alignment vertical="center" wrapText="1"/>
      <protection hidden="1"/>
    </xf>
    <xf numFmtId="164" fontId="9" fillId="20" borderId="10" xfId="40" applyNumberFormat="1" applyFont="1" applyFill="1" applyBorder="1" applyAlignment="1" applyProtection="1">
      <alignment vertical="center"/>
      <protection hidden="1"/>
    </xf>
    <xf numFmtId="0" fontId="5" fillId="0" borderId="0" xfId="0" applyFont="1" applyAlignment="1" applyProtection="1">
      <alignment vertical="center"/>
      <protection hidden="1"/>
    </xf>
    <xf numFmtId="0" fontId="9" fillId="25" borderId="10" xfId="0" applyFont="1" applyFill="1" applyBorder="1" applyAlignment="1" applyProtection="1">
      <alignment horizontal="left" vertical="center" wrapText="1"/>
      <protection hidden="1"/>
    </xf>
    <xf numFmtId="0" fontId="7" fillId="25" borderId="10" xfId="0" applyFont="1" applyFill="1" applyBorder="1" applyAlignment="1" applyProtection="1">
      <alignment horizontal="left" vertical="center" wrapText="1"/>
      <protection hidden="1"/>
    </xf>
    <xf numFmtId="0" fontId="20" fillId="0" borderId="0" xfId="0" applyFont="1" applyAlignment="1" applyProtection="1">
      <alignment/>
      <protection hidden="1"/>
    </xf>
    <xf numFmtId="0" fontId="7" fillId="28" borderId="10" xfId="54" applyFont="1" applyFill="1" applyBorder="1" applyAlignment="1" applyProtection="1">
      <alignment horizontal="left" vertical="center" wrapText="1" indent="1"/>
      <protection hidden="1"/>
    </xf>
    <xf numFmtId="0" fontId="7" fillId="25" borderId="10" xfId="54" applyFont="1" applyFill="1" applyBorder="1" applyAlignment="1" applyProtection="1">
      <alignment horizontal="left" wrapText="1"/>
      <protection hidden="1"/>
    </xf>
    <xf numFmtId="9" fontId="9" fillId="7" borderId="10" xfId="54" applyNumberFormat="1" applyFont="1" applyBorder="1" applyAlignment="1" applyProtection="1">
      <alignment/>
      <protection hidden="1" locked="0"/>
    </xf>
    <xf numFmtId="180" fontId="9" fillId="20" borderId="10" xfId="40" applyNumberFormat="1" applyFont="1" applyFill="1" applyBorder="1" applyAlignment="1" applyProtection="1">
      <alignment/>
      <protection hidden="1"/>
    </xf>
    <xf numFmtId="0" fontId="9" fillId="25" borderId="10" xfId="0" applyFont="1" applyFill="1" applyBorder="1" applyAlignment="1" applyProtection="1">
      <alignment wrapText="1"/>
      <protection hidden="1"/>
    </xf>
    <xf numFmtId="9" fontId="9" fillId="20" borderId="10" xfId="40" applyNumberFormat="1" applyFont="1" applyFill="1" applyBorder="1" applyAlignment="1" applyProtection="1">
      <alignment/>
      <protection hidden="1"/>
    </xf>
    <xf numFmtId="0" fontId="10" fillId="28" borderId="10" xfId="54" applyFont="1" applyFill="1" applyBorder="1" applyAlignment="1" applyProtection="1">
      <alignment wrapText="1"/>
      <protection hidden="1"/>
    </xf>
    <xf numFmtId="0" fontId="7" fillId="25" borderId="10" xfId="54" applyFont="1" applyFill="1" applyBorder="1" applyAlignment="1" applyProtection="1">
      <alignment wrapText="1"/>
      <protection hidden="1"/>
    </xf>
    <xf numFmtId="9" fontId="9" fillId="20" borderId="10" xfId="40" applyNumberFormat="1" applyFont="1" applyFill="1" applyBorder="1" applyAlignment="1" applyProtection="1">
      <alignment/>
      <protection hidden="1"/>
    </xf>
    <xf numFmtId="0" fontId="21" fillId="25" borderId="10" xfId="54" applyFont="1" applyFill="1" applyBorder="1" applyAlignment="1" applyProtection="1">
      <alignment horizontal="left" wrapText="1"/>
      <protection hidden="1"/>
    </xf>
    <xf numFmtId="0" fontId="7" fillId="25" borderId="10" xfId="0" applyFont="1" applyFill="1" applyBorder="1" applyAlignment="1" applyProtection="1">
      <alignment horizontal="left" wrapText="1"/>
      <protection hidden="1"/>
    </xf>
    <xf numFmtId="0" fontId="2" fillId="0" borderId="0" xfId="0" applyFont="1" applyAlignment="1" applyProtection="1">
      <alignment/>
      <protection hidden="1"/>
    </xf>
    <xf numFmtId="3" fontId="9" fillId="7" borderId="10" xfId="54" applyNumberFormat="1" applyFont="1" applyBorder="1" applyAlignment="1" applyProtection="1">
      <alignment/>
      <protection hidden="1" locked="0"/>
    </xf>
    <xf numFmtId="167" fontId="9" fillId="7" borderId="10" xfId="54" applyNumberFormat="1" applyFont="1" applyBorder="1" applyAlignment="1" applyProtection="1">
      <alignment/>
      <protection hidden="1" locked="0"/>
    </xf>
    <xf numFmtId="8" fontId="9" fillId="26" borderId="10" xfId="40" applyNumberFormat="1" applyFont="1" applyFill="1" applyBorder="1" applyAlignment="1" applyProtection="1">
      <alignment/>
      <protection hidden="1"/>
    </xf>
    <xf numFmtId="0" fontId="9" fillId="7" borderId="10" xfId="54" applyFont="1" applyBorder="1" applyAlignment="1" applyProtection="1">
      <alignment/>
      <protection hidden="1" locked="0"/>
    </xf>
    <xf numFmtId="0" fontId="9" fillId="25" borderId="10" xfId="0" applyFont="1" applyFill="1" applyBorder="1" applyAlignment="1" applyProtection="1">
      <alignment horizontal="left" vertical="top" wrapText="1"/>
      <protection hidden="1"/>
    </xf>
    <xf numFmtId="0" fontId="7" fillId="25" borderId="12" xfId="0" applyFont="1" applyFill="1" applyBorder="1" applyAlignment="1" applyProtection="1">
      <alignment horizontal="center" wrapText="1"/>
      <protection hidden="1"/>
    </xf>
    <xf numFmtId="0" fontId="9" fillId="25" borderId="10" xfId="54" applyFont="1" applyFill="1" applyBorder="1" applyAlignment="1" applyProtection="1">
      <alignment horizontal="left" wrapText="1"/>
      <protection hidden="1"/>
    </xf>
    <xf numFmtId="164" fontId="9" fillId="20" borderId="10" xfId="40" applyNumberFormat="1" applyFont="1" applyFill="1" applyBorder="1" applyAlignment="1" applyProtection="1">
      <alignment/>
      <protection hidden="1"/>
    </xf>
    <xf numFmtId="164" fontId="9" fillId="20" borderId="10" xfId="40" applyNumberFormat="1" applyFont="1" applyFill="1" applyBorder="1" applyAlignment="1" applyProtection="1">
      <alignment horizontal="right"/>
      <protection hidden="1"/>
    </xf>
    <xf numFmtId="0" fontId="7" fillId="25" borderId="10" xfId="0" applyFont="1" applyFill="1" applyBorder="1" applyAlignment="1" applyProtection="1">
      <alignment horizontal="left" wrapText="1"/>
      <protection hidden="1"/>
    </xf>
    <xf numFmtId="9" fontId="9" fillId="20" borderId="10" xfId="54" applyNumberFormat="1" applyFont="1" applyFill="1" applyBorder="1" applyAlignment="1" applyProtection="1">
      <alignment/>
      <protection hidden="1"/>
    </xf>
    <xf numFmtId="3" fontId="9" fillId="26" borderId="10" xfId="40" applyNumberFormat="1" applyFont="1" applyFill="1" applyBorder="1" applyAlignment="1" applyProtection="1">
      <alignment/>
      <protection hidden="1"/>
    </xf>
    <xf numFmtId="0" fontId="7" fillId="25" borderId="10" xfId="54" applyFont="1" applyFill="1" applyBorder="1" applyAlignment="1" applyProtection="1">
      <alignment horizontal="left" vertical="top" wrapText="1"/>
      <protection hidden="1"/>
    </xf>
    <xf numFmtId="0" fontId="7" fillId="25" borderId="10" xfId="0" applyFont="1" applyFill="1" applyBorder="1" applyAlignment="1" applyProtection="1">
      <alignment wrapText="1"/>
      <protection hidden="1"/>
    </xf>
    <xf numFmtId="0" fontId="5" fillId="0" borderId="0" xfId="0" applyFont="1" applyAlignment="1" applyProtection="1">
      <alignment/>
      <protection hidden="1"/>
    </xf>
    <xf numFmtId="0" fontId="9" fillId="25" borderId="10" xfId="0" applyFont="1" applyFill="1" applyBorder="1" applyAlignment="1" applyProtection="1">
      <alignment wrapText="1"/>
      <protection hidden="1"/>
    </xf>
    <xf numFmtId="0" fontId="24" fillId="0" borderId="0" xfId="0" applyFont="1" applyAlignment="1" applyProtection="1">
      <alignment horizontal="left"/>
      <protection hidden="1"/>
    </xf>
    <xf numFmtId="164" fontId="9" fillId="26" borderId="10" xfId="40" applyNumberFormat="1" applyFont="1" applyFill="1" applyBorder="1" applyAlignment="1" applyProtection="1">
      <alignment/>
      <protection hidden="1"/>
    </xf>
    <xf numFmtId="0" fontId="7" fillId="25" borderId="10" xfId="0" applyFont="1" applyFill="1" applyBorder="1" applyAlignment="1" applyProtection="1">
      <alignment horizontal="left" vertical="top" wrapText="1"/>
      <protection hidden="1"/>
    </xf>
    <xf numFmtId="185" fontId="0" fillId="0" borderId="0" xfId="0" applyNumberFormat="1" applyAlignment="1" applyProtection="1">
      <alignment horizontal="left"/>
      <protection hidden="1"/>
    </xf>
    <xf numFmtId="0" fontId="7" fillId="2" borderId="10" xfId="54" applyFont="1" applyFill="1" applyBorder="1" applyAlignment="1" applyProtection="1">
      <alignment horizontal="left" vertical="top" wrapText="1"/>
      <protection hidden="1"/>
    </xf>
    <xf numFmtId="8" fontId="9" fillId="20" borderId="10" xfId="40" applyNumberFormat="1" applyFont="1" applyFill="1" applyBorder="1" applyAlignment="1" applyProtection="1">
      <alignment/>
      <protection hidden="1"/>
    </xf>
    <xf numFmtId="1" fontId="14" fillId="0" borderId="0" xfId="0" applyNumberFormat="1" applyFont="1" applyAlignment="1" applyProtection="1">
      <alignment horizontal="left"/>
      <protection hidden="1"/>
    </xf>
    <xf numFmtId="1" fontId="14" fillId="0" borderId="0" xfId="0" applyNumberFormat="1" applyFont="1" applyAlignment="1" applyProtection="1">
      <alignment horizontal="left"/>
      <protection hidden="1"/>
    </xf>
    <xf numFmtId="6" fontId="9" fillId="7" borderId="10" xfId="54" applyNumberFormat="1" applyFont="1" applyBorder="1" applyAlignment="1" applyProtection="1">
      <alignment/>
      <protection hidden="1" locked="0"/>
    </xf>
    <xf numFmtId="0" fontId="7" fillId="2" borderId="10" xfId="0" applyFont="1" applyFill="1" applyBorder="1" applyAlignment="1" applyProtection="1">
      <alignment wrapText="1"/>
      <protection hidden="1"/>
    </xf>
    <xf numFmtId="8" fontId="9" fillId="20" borderId="10" xfId="54" applyNumberFormat="1" applyFont="1" applyFill="1" applyBorder="1" applyAlignment="1" applyProtection="1">
      <alignment/>
      <protection hidden="1"/>
    </xf>
    <xf numFmtId="0" fontId="25" fillId="0" borderId="0" xfId="0" applyFont="1" applyAlignment="1" applyProtection="1">
      <alignment horizontal="left"/>
      <protection hidden="1"/>
    </xf>
    <xf numFmtId="0" fontId="5" fillId="0" borderId="0" xfId="0" applyFont="1" applyAlignment="1" applyProtection="1">
      <alignment/>
      <protection hidden="1"/>
    </xf>
    <xf numFmtId="0" fontId="7" fillId="2" borderId="10" xfId="0" applyFont="1" applyFill="1" applyBorder="1" applyAlignment="1" applyProtection="1">
      <alignment horizontal="left" vertical="top" wrapText="1"/>
      <protection hidden="1"/>
    </xf>
    <xf numFmtId="0" fontId="9" fillId="25" borderId="11" xfId="54" applyFont="1" applyFill="1" applyBorder="1" applyAlignment="1" applyProtection="1">
      <alignment horizontal="left" vertical="top" wrapText="1"/>
      <protection hidden="1"/>
    </xf>
    <xf numFmtId="9" fontId="9" fillId="20" borderId="11" xfId="54" applyNumberFormat="1" applyFont="1" applyFill="1" applyBorder="1" applyAlignment="1" applyProtection="1">
      <alignment/>
      <protection hidden="1"/>
    </xf>
    <xf numFmtId="3" fontId="9" fillId="26" borderId="11" xfId="40" applyNumberFormat="1" applyFont="1" applyFill="1" applyBorder="1" applyAlignment="1" applyProtection="1">
      <alignment/>
      <protection hidden="1"/>
    </xf>
    <xf numFmtId="9" fontId="9" fillId="7" borderId="11" xfId="54" applyNumberFormat="1" applyFont="1" applyBorder="1" applyAlignment="1" applyProtection="1">
      <alignment/>
      <protection hidden="1" locked="0"/>
    </xf>
    <xf numFmtId="2" fontId="14" fillId="0" borderId="0" xfId="0" applyNumberFormat="1" applyFont="1" applyAlignment="1" applyProtection="1">
      <alignment horizontal="left"/>
      <protection hidden="1"/>
    </xf>
    <xf numFmtId="9" fontId="9" fillId="26" borderId="10" xfId="40" applyNumberFormat="1" applyFont="1" applyFill="1" applyBorder="1" applyAlignment="1" applyProtection="1">
      <alignment/>
      <protection hidden="1"/>
    </xf>
    <xf numFmtId="0" fontId="26" fillId="0" borderId="0" xfId="0" applyFont="1" applyAlignment="1" applyProtection="1">
      <alignment horizontal="left"/>
      <protection hidden="1"/>
    </xf>
    <xf numFmtId="0" fontId="27" fillId="0" borderId="0" xfId="0" applyFont="1" applyAlignment="1" applyProtection="1">
      <alignment horizontal="left"/>
      <protection hidden="1"/>
    </xf>
    <xf numFmtId="3" fontId="5" fillId="0" borderId="0" xfId="0" applyNumberFormat="1" applyFont="1" applyAlignment="1" applyProtection="1">
      <alignment/>
      <protection hidden="1"/>
    </xf>
    <xf numFmtId="3" fontId="14" fillId="0" borderId="0" xfId="0" applyNumberFormat="1" applyFont="1" applyAlignment="1" applyProtection="1">
      <alignment horizontal="left"/>
      <protection hidden="1"/>
    </xf>
    <xf numFmtId="0" fontId="14" fillId="0" borderId="0" xfId="0" applyFont="1" applyFill="1" applyBorder="1" applyAlignment="1" applyProtection="1">
      <alignment horizontal="left"/>
      <protection hidden="1"/>
    </xf>
    <xf numFmtId="0" fontId="17" fillId="0" borderId="0" xfId="0" applyFont="1" applyAlignment="1" applyProtection="1">
      <alignment/>
      <protection hidden="1"/>
    </xf>
    <xf numFmtId="177" fontId="9" fillId="20" borderId="10" xfId="54" applyNumberFormat="1" applyFont="1" applyFill="1" applyBorder="1" applyAlignment="1" applyProtection="1">
      <alignment wrapText="1"/>
      <protection hidden="1"/>
    </xf>
    <xf numFmtId="2" fontId="9" fillId="20" borderId="10" xfId="54" applyNumberFormat="1" applyFont="1" applyFill="1" applyBorder="1" applyAlignment="1" applyProtection="1">
      <alignment wrapText="1"/>
      <protection hidden="1"/>
    </xf>
    <xf numFmtId="0" fontId="9" fillId="26" borderId="10" xfId="54" applyFont="1" applyFill="1" applyBorder="1" applyAlignment="1" applyProtection="1">
      <alignment horizontal="left" wrapText="1"/>
      <protection hidden="1"/>
    </xf>
    <xf numFmtId="9" fontId="9" fillId="20" borderId="10" xfId="54" applyNumberFormat="1" applyFont="1" applyFill="1" applyBorder="1" applyAlignment="1" applyProtection="1">
      <alignment wrapText="1"/>
      <protection hidden="1"/>
    </xf>
    <xf numFmtId="177" fontId="9" fillId="20" borderId="10" xfId="54" applyNumberFormat="1" applyFont="1" applyFill="1" applyBorder="1" applyAlignment="1" applyProtection="1">
      <alignment wrapText="1"/>
      <protection hidden="1"/>
    </xf>
    <xf numFmtId="180" fontId="9" fillId="20" borderId="10" xfId="54" applyNumberFormat="1" applyFont="1" applyFill="1" applyBorder="1" applyAlignment="1" applyProtection="1">
      <alignment wrapText="1"/>
      <protection hidden="1"/>
    </xf>
    <xf numFmtId="0" fontId="9" fillId="25" borderId="17" xfId="54" applyFont="1" applyFill="1" applyBorder="1" applyAlignment="1" applyProtection="1">
      <alignment horizontal="left" vertical="top" wrapText="1"/>
      <protection hidden="1"/>
    </xf>
    <xf numFmtId="180" fontId="9" fillId="20" borderId="10" xfId="54" applyNumberFormat="1" applyFont="1" applyFill="1" applyBorder="1" applyAlignment="1" applyProtection="1">
      <alignment wrapText="1"/>
      <protection hidden="1"/>
    </xf>
    <xf numFmtId="0" fontId="10" fillId="28" borderId="10" xfId="54" applyFont="1" applyFill="1" applyBorder="1" applyAlignment="1" applyProtection="1">
      <alignment horizontal="left" vertical="center" wrapText="1" indent="1"/>
      <protection hidden="1"/>
    </xf>
    <xf numFmtId="8" fontId="9" fillId="20" borderId="10" xfId="40" applyNumberFormat="1" applyFont="1" applyFill="1" applyBorder="1" applyAlignment="1" applyProtection="1">
      <alignment/>
      <protection hidden="1"/>
    </xf>
    <xf numFmtId="0" fontId="5" fillId="0" borderId="0" xfId="0" applyFont="1" applyBorder="1" applyAlignment="1" applyProtection="1">
      <alignment/>
      <protection hidden="1"/>
    </xf>
    <xf numFmtId="0" fontId="1" fillId="16" borderId="10" xfId="0" applyFont="1" applyFill="1" applyBorder="1" applyAlignment="1" applyProtection="1">
      <alignment horizontal="center" vertical="top"/>
      <protection hidden="1"/>
    </xf>
    <xf numFmtId="0" fontId="1" fillId="16" borderId="10" xfId="0" applyFont="1" applyFill="1" applyBorder="1" applyAlignment="1" applyProtection="1">
      <alignment horizontal="center" vertical="top"/>
      <protection hidden="1"/>
    </xf>
    <xf numFmtId="0" fontId="1" fillId="16" borderId="0" xfId="0" applyFont="1" applyFill="1" applyBorder="1" applyAlignment="1" applyProtection="1">
      <alignment horizontal="center" vertical="center" wrapText="1"/>
      <protection hidden="1"/>
    </xf>
    <xf numFmtId="0" fontId="1" fillId="16" borderId="0" xfId="0" applyFont="1" applyFill="1" applyBorder="1" applyAlignment="1" applyProtection="1">
      <alignment horizontal="center" vertical="center"/>
      <protection hidden="1"/>
    </xf>
    <xf numFmtId="0" fontId="1" fillId="16" borderId="13" xfId="0" applyFont="1" applyFill="1" applyBorder="1" applyAlignment="1">
      <alignment horizontal="center" vertical="top"/>
    </xf>
    <xf numFmtId="0" fontId="1" fillId="16" borderId="18" xfId="0" applyFont="1" applyFill="1" applyBorder="1" applyAlignment="1">
      <alignment horizontal="center" vertical="top"/>
    </xf>
    <xf numFmtId="0" fontId="1" fillId="16" borderId="19" xfId="0" applyFont="1" applyFill="1" applyBorder="1" applyAlignment="1">
      <alignment horizontal="center" vertical="top"/>
    </xf>
    <xf numFmtId="0" fontId="8" fillId="20" borderId="20" xfId="0" applyFont="1" applyFill="1" applyBorder="1" applyAlignment="1">
      <alignment horizontal="center" vertical="center"/>
    </xf>
    <xf numFmtId="0" fontId="1" fillId="27" borderId="10" xfId="0" applyFont="1" applyFill="1" applyBorder="1" applyAlignment="1">
      <alignment horizontal="center" vertical="top"/>
    </xf>
    <xf numFmtId="0" fontId="1" fillId="27" borderId="10" xfId="0" applyFont="1" applyFill="1" applyBorder="1" applyAlignment="1">
      <alignment horizontal="center" vertical="top"/>
    </xf>
    <xf numFmtId="0" fontId="1" fillId="27" borderId="13" xfId="0" applyFont="1" applyFill="1" applyBorder="1" applyAlignment="1">
      <alignment horizontal="center"/>
    </xf>
    <xf numFmtId="0" fontId="1" fillId="27" borderId="18" xfId="0" applyFont="1" applyFill="1" applyBorder="1" applyAlignment="1">
      <alignment horizontal="center"/>
    </xf>
    <xf numFmtId="0" fontId="1" fillId="27" borderId="19" xfId="0" applyFont="1" applyFill="1" applyBorder="1" applyAlignment="1">
      <alignment horizontal="center"/>
    </xf>
    <xf numFmtId="0" fontId="1" fillId="27" borderId="13" xfId="0" applyFont="1" applyFill="1" applyBorder="1" applyAlignment="1">
      <alignment horizontal="center" wrapText="1"/>
    </xf>
    <xf numFmtId="0" fontId="1" fillId="27" borderId="18" xfId="0" applyFont="1" applyFill="1" applyBorder="1" applyAlignment="1">
      <alignment horizontal="center" wrapText="1"/>
    </xf>
    <xf numFmtId="0" fontId="1" fillId="27" borderId="19" xfId="0" applyFont="1" applyFill="1" applyBorder="1" applyAlignment="1">
      <alignment horizontal="center" wrapText="1"/>
    </xf>
    <xf numFmtId="0" fontId="6" fillId="20" borderId="21" xfId="0" applyFont="1" applyFill="1" applyBorder="1" applyAlignment="1">
      <alignment horizontal="center" vertical="center"/>
    </xf>
    <xf numFmtId="0" fontId="6" fillId="20" borderId="21" xfId="0" applyFont="1" applyFill="1" applyBorder="1" applyAlignment="1">
      <alignment horizontal="center" vertical="center" wrapText="1"/>
    </xf>
    <xf numFmtId="0" fontId="1" fillId="27" borderId="22" xfId="0" applyFont="1" applyFill="1" applyBorder="1" applyAlignment="1">
      <alignment horizontal="center"/>
    </xf>
    <xf numFmtId="0" fontId="1" fillId="27" borderId="23" xfId="0" applyFont="1" applyFill="1" applyBorder="1" applyAlignment="1">
      <alignment horizontal="center"/>
    </xf>
    <xf numFmtId="0" fontId="1" fillId="27" borderId="24" xfId="0" applyFont="1" applyFill="1" applyBorder="1" applyAlignment="1">
      <alignment horizontal="center"/>
    </xf>
    <xf numFmtId="0" fontId="1" fillId="27" borderId="13" xfId="54" applyFont="1" applyFill="1" applyBorder="1" applyAlignment="1" applyProtection="1">
      <alignment horizontal="center" wrapText="1"/>
      <protection hidden="1"/>
    </xf>
    <xf numFmtId="0" fontId="1" fillId="27" borderId="18" xfId="54" applyFont="1" applyFill="1" applyBorder="1" applyAlignment="1" applyProtection="1">
      <alignment horizontal="center" wrapText="1"/>
      <protection hidden="1"/>
    </xf>
    <xf numFmtId="0" fontId="1" fillId="16" borderId="13" xfId="54" applyFont="1" applyFill="1" applyBorder="1" applyAlignment="1" applyProtection="1">
      <alignment horizontal="center" wrapText="1"/>
      <protection hidden="1"/>
    </xf>
    <xf numFmtId="0" fontId="1" fillId="16" borderId="18" xfId="54" applyFont="1" applyFill="1" applyBorder="1" applyAlignment="1" applyProtection="1">
      <alignment horizontal="center" wrapText="1"/>
      <protection hidden="1"/>
    </xf>
    <xf numFmtId="0" fontId="1" fillId="16" borderId="10" xfId="0" applyFont="1" applyFill="1" applyBorder="1" applyAlignment="1" applyProtection="1">
      <alignment horizontal="center"/>
      <protection hidden="1"/>
    </xf>
    <xf numFmtId="0" fontId="1" fillId="16" borderId="10" xfId="0" applyFont="1" applyFill="1" applyBorder="1" applyAlignment="1" applyProtection="1">
      <alignment horizontal="center"/>
      <protection hidden="1"/>
    </xf>
    <xf numFmtId="0" fontId="4" fillId="8" borderId="0" xfId="0" applyFont="1" applyFill="1" applyBorder="1" applyAlignment="1" applyProtection="1">
      <alignment horizontal="center" vertical="center"/>
      <protection hidden="1"/>
    </xf>
    <xf numFmtId="0" fontId="9" fillId="2" borderId="13" xfId="0" applyFont="1" applyFill="1" applyBorder="1" applyAlignment="1" applyProtection="1">
      <alignment horizontal="left"/>
      <protection hidden="1"/>
    </xf>
    <xf numFmtId="0" fontId="9" fillId="2" borderId="19" xfId="0" applyFont="1" applyFill="1" applyBorder="1" applyAlignment="1" applyProtection="1">
      <alignment horizontal="left"/>
      <protection hidden="1"/>
    </xf>
    <xf numFmtId="0" fontId="9" fillId="25" borderId="13" xfId="54" applyFont="1" applyFill="1" applyBorder="1" applyAlignment="1" applyProtection="1">
      <alignment horizontal="left" vertical="top" wrapText="1"/>
      <protection hidden="1"/>
    </xf>
    <xf numFmtId="0" fontId="9" fillId="25" borderId="19" xfId="54" applyFont="1" applyFill="1" applyBorder="1" applyAlignment="1" applyProtection="1">
      <alignment horizontal="left" vertical="top" wrapText="1"/>
      <protection hidden="1"/>
    </xf>
    <xf numFmtId="0" fontId="7" fillId="8" borderId="10" xfId="54" applyFont="1" applyFill="1" applyBorder="1" applyAlignment="1" applyProtection="1">
      <alignment horizontal="left" vertical="top" wrapText="1"/>
      <protection hidden="1"/>
    </xf>
    <xf numFmtId="0" fontId="7" fillId="8" borderId="10" xfId="54" applyFont="1" applyFill="1" applyBorder="1" applyAlignment="1" applyProtection="1">
      <alignment vertical="top" wrapText="1"/>
      <protection hidden="1"/>
    </xf>
    <xf numFmtId="0" fontId="7" fillId="8" borderId="13" xfId="54" applyFont="1" applyFill="1" applyBorder="1" applyAlignment="1" applyProtection="1">
      <alignment horizontal="left" vertical="top" wrapText="1"/>
      <protection hidden="1"/>
    </xf>
    <xf numFmtId="0" fontId="7" fillId="8" borderId="18" xfId="54" applyFont="1" applyFill="1" applyBorder="1" applyAlignment="1" applyProtection="1">
      <alignment horizontal="left" vertical="top" wrapText="1"/>
      <protection hidden="1"/>
    </xf>
    <xf numFmtId="0" fontId="7" fillId="8" borderId="19" xfId="54" applyFont="1" applyFill="1" applyBorder="1" applyAlignment="1" applyProtection="1">
      <alignment horizontal="left" vertical="top" wrapText="1"/>
      <protection hidden="1"/>
    </xf>
    <xf numFmtId="0" fontId="10" fillId="27" borderId="13" xfId="0" applyFont="1" applyFill="1" applyBorder="1" applyAlignment="1" applyProtection="1">
      <alignment horizontal="center" vertical="top" wrapText="1"/>
      <protection hidden="1"/>
    </xf>
    <xf numFmtId="0" fontId="10" fillId="27" borderId="19" xfId="0" applyFont="1" applyFill="1" applyBorder="1" applyAlignment="1" applyProtection="1">
      <alignment horizontal="center" vertical="top" wrapText="1"/>
      <protection hidden="1"/>
    </xf>
    <xf numFmtId="0" fontId="1" fillId="27" borderId="13" xfId="0" applyFont="1" applyFill="1" applyBorder="1" applyAlignment="1" applyProtection="1">
      <alignment horizontal="center" vertical="top" wrapText="1"/>
      <protection hidden="1"/>
    </xf>
    <xf numFmtId="0" fontId="1" fillId="27" borderId="19" xfId="0" applyFont="1" applyFill="1" applyBorder="1" applyAlignment="1" applyProtection="1">
      <alignment horizontal="center" vertical="top" wrapText="1"/>
      <protection hidden="1"/>
    </xf>
    <xf numFmtId="0" fontId="5" fillId="0" borderId="0" xfId="0" applyFont="1" applyAlignment="1" applyProtection="1">
      <alignment horizontal="left" vertical="center" wrapText="1"/>
      <protection hidden="1"/>
    </xf>
    <xf numFmtId="0" fontId="5" fillId="0" borderId="0" xfId="0" applyNumberFormat="1" applyFont="1" applyAlignment="1" applyProtection="1">
      <alignment horizontal="left" wrapText="1"/>
      <protection hidden="1"/>
    </xf>
    <xf numFmtId="0" fontId="7" fillId="8" borderId="14" xfId="54" applyFont="1" applyFill="1" applyBorder="1" applyAlignment="1" applyProtection="1">
      <alignment horizontal="left" vertical="top" wrapText="1"/>
      <protection hidden="1"/>
    </xf>
    <xf numFmtId="0" fontId="10" fillId="27" borderId="13" xfId="0" applyFont="1" applyFill="1" applyBorder="1" applyAlignment="1" applyProtection="1">
      <alignment horizontal="center"/>
      <protection hidden="1"/>
    </xf>
    <xf numFmtId="0" fontId="10" fillId="27" borderId="19" xfId="0" applyFont="1" applyFill="1" applyBorder="1" applyAlignment="1" applyProtection="1">
      <alignment horizontal="center"/>
      <protection hidden="1"/>
    </xf>
    <xf numFmtId="0" fontId="10" fillId="27" borderId="18" xfId="0" applyFont="1" applyFill="1" applyBorder="1" applyAlignment="1" applyProtection="1">
      <alignment horizontal="center"/>
      <protection hidden="1"/>
    </xf>
    <xf numFmtId="0" fontId="1" fillId="27" borderId="25" xfId="0" applyFont="1" applyFill="1" applyBorder="1" applyAlignment="1" applyProtection="1">
      <alignment horizontal="center"/>
      <protection hidden="1"/>
    </xf>
    <xf numFmtId="0" fontId="1" fillId="27" borderId="26" xfId="0" applyFont="1" applyFill="1" applyBorder="1" applyAlignment="1" applyProtection="1">
      <alignment horizontal="center"/>
      <protection hidden="1"/>
    </xf>
    <xf numFmtId="0" fontId="7" fillId="2" borderId="0" xfId="0" applyFont="1" applyFill="1" applyBorder="1" applyAlignment="1" applyProtection="1">
      <alignment horizontal="left"/>
      <protection hidden="1"/>
    </xf>
    <xf numFmtId="0" fontId="10" fillId="27" borderId="18" xfId="0" applyFont="1" applyFill="1" applyBorder="1" applyAlignment="1" applyProtection="1">
      <alignment horizontal="center" vertical="top" wrapText="1"/>
      <protection hidden="1"/>
    </xf>
    <xf numFmtId="0" fontId="9" fillId="2" borderId="0" xfId="0" applyFont="1" applyFill="1" applyBorder="1" applyAlignment="1" applyProtection="1">
      <alignment horizontal="left"/>
      <protection hidden="1"/>
    </xf>
    <xf numFmtId="0" fontId="1" fillId="27" borderId="13" xfId="54" applyFont="1" applyFill="1" applyBorder="1" applyAlignment="1" applyProtection="1">
      <alignment horizontal="center" vertical="center" wrapText="1"/>
      <protection hidden="1"/>
    </xf>
    <xf numFmtId="0" fontId="1" fillId="27" borderId="18" xfId="54" applyFont="1" applyFill="1" applyBorder="1" applyAlignment="1" applyProtection="1">
      <alignment horizontal="center" vertical="center" wrapText="1"/>
      <protection hidden="1"/>
    </xf>
    <xf numFmtId="0" fontId="1" fillId="27" borderId="19" xfId="54" applyFont="1" applyFill="1" applyBorder="1" applyAlignment="1" applyProtection="1">
      <alignment horizontal="center" wrapText="1"/>
      <protection hidden="1"/>
    </xf>
    <xf numFmtId="0" fontId="7" fillId="25" borderId="12" xfId="0" applyFont="1" applyFill="1" applyBorder="1" applyAlignment="1" applyProtection="1">
      <alignment horizontal="center" wrapText="1"/>
      <protection hidden="1"/>
    </xf>
    <xf numFmtId="0" fontId="7" fillId="25" borderId="11" xfId="0" applyFont="1" applyFill="1" applyBorder="1" applyAlignment="1" applyProtection="1">
      <alignment horizontal="center" wrapText="1"/>
      <protection hidden="1"/>
    </xf>
    <xf numFmtId="0" fontId="1" fillId="16" borderId="10" xfId="54" applyFont="1" applyFill="1" applyBorder="1" applyAlignment="1" applyProtection="1">
      <alignment horizontal="center" wrapText="1"/>
      <protection hidden="1"/>
    </xf>
    <xf numFmtId="0" fontId="7" fillId="8" borderId="10" xfId="54" applyFont="1" applyFill="1" applyBorder="1" applyAlignment="1" applyProtection="1">
      <alignment horizontal="left" vertical="top" wrapText="1"/>
      <protection hidden="1"/>
    </xf>
    <xf numFmtId="0" fontId="1" fillId="27" borderId="13" xfId="0" applyFont="1" applyFill="1" applyBorder="1" applyAlignment="1" applyProtection="1">
      <alignment horizontal="center"/>
      <protection hidden="1"/>
    </xf>
    <xf numFmtId="0" fontId="1" fillId="27" borderId="19" xfId="0" applyFont="1" applyFill="1" applyBorder="1" applyAlignment="1" applyProtection="1">
      <alignment horizontal="center"/>
      <protection hidden="1"/>
    </xf>
    <xf numFmtId="0" fontId="7" fillId="25" borderId="12" xfId="54" applyFont="1" applyFill="1" applyBorder="1" applyAlignment="1" applyProtection="1">
      <alignment horizontal="center" wrapText="1"/>
      <protection hidden="1"/>
    </xf>
    <xf numFmtId="0" fontId="7" fillId="25" borderId="11" xfId="54" applyFont="1" applyFill="1" applyBorder="1" applyAlignment="1" applyProtection="1">
      <alignment horizontal="center" wrapText="1"/>
      <protection hidden="1"/>
    </xf>
    <xf numFmtId="0" fontId="10" fillId="27" borderId="13" xfId="0" applyFont="1" applyFill="1" applyBorder="1" applyAlignment="1" applyProtection="1">
      <alignment horizontal="center" wrapText="1"/>
      <protection hidden="1"/>
    </xf>
    <xf numFmtId="0" fontId="10" fillId="27" borderId="19" xfId="0" applyFont="1" applyFill="1" applyBorder="1" applyAlignment="1" applyProtection="1">
      <alignment horizontal="center" wrapText="1"/>
      <protection hidden="1"/>
    </xf>
    <xf numFmtId="0" fontId="10" fillId="27" borderId="18" xfId="0" applyFont="1" applyFill="1" applyBorder="1" applyAlignment="1" applyProtection="1">
      <alignment horizontal="center" wrapText="1"/>
      <protection hidden="1"/>
    </xf>
    <xf numFmtId="0" fontId="1" fillId="27" borderId="13" xfId="0" applyFont="1" applyFill="1" applyBorder="1" applyAlignment="1" applyProtection="1">
      <alignment horizontal="center" wrapText="1"/>
      <protection hidden="1"/>
    </xf>
    <xf numFmtId="0" fontId="7" fillId="8" borderId="10" xfId="54" applyFont="1" applyFill="1" applyBorder="1" applyAlignment="1" applyProtection="1">
      <alignment horizontal="left" vertical="top" wrapText="1"/>
      <protection hidden="1"/>
    </xf>
    <xf numFmtId="0" fontId="10" fillId="28" borderId="13" xfId="54" applyFont="1" applyFill="1" applyBorder="1" applyAlignment="1" applyProtection="1">
      <alignment horizontal="left" vertical="center" wrapText="1"/>
      <protection hidden="1"/>
    </xf>
    <xf numFmtId="0" fontId="10" fillId="28" borderId="19" xfId="54" applyFont="1" applyFill="1" applyBorder="1" applyAlignment="1" applyProtection="1">
      <alignment horizontal="left" vertical="center" wrapText="1"/>
      <protection hidden="1"/>
    </xf>
    <xf numFmtId="0" fontId="10" fillId="28" borderId="13" xfId="54" applyFont="1" applyFill="1" applyBorder="1" applyAlignment="1" applyProtection="1">
      <alignment horizontal="left" wrapText="1"/>
      <protection hidden="1"/>
    </xf>
    <xf numFmtId="0" fontId="10" fillId="28" borderId="19" xfId="54" applyFont="1" applyFill="1" applyBorder="1" applyAlignment="1" applyProtection="1">
      <alignment horizontal="left" wrapText="1"/>
      <protection hidden="1"/>
    </xf>
    <xf numFmtId="0" fontId="10" fillId="28" borderId="18" xfId="54" applyFont="1" applyFill="1" applyBorder="1" applyAlignment="1" applyProtection="1">
      <alignment horizontal="left" wrapText="1"/>
      <protection hidden="1"/>
    </xf>
    <xf numFmtId="0" fontId="1" fillId="27" borderId="10" xfId="54" applyFont="1" applyFill="1" applyBorder="1" applyAlignment="1" applyProtection="1">
      <alignment horizontal="center" wrapText="1"/>
      <protection hidden="1"/>
    </xf>
    <xf numFmtId="0" fontId="7" fillId="8" borderId="13" xfId="54" applyFont="1" applyFill="1" applyBorder="1" applyAlignment="1" applyProtection="1">
      <alignment horizontal="left" vertical="top" wrapText="1"/>
      <protection hidden="1"/>
    </xf>
    <xf numFmtId="0" fontId="7" fillId="8" borderId="18" xfId="54" applyFont="1" applyFill="1" applyBorder="1" applyAlignment="1" applyProtection="1">
      <alignment horizontal="left" vertical="top" wrapText="1"/>
      <protection hidden="1"/>
    </xf>
    <xf numFmtId="0" fontId="7" fillId="8" borderId="19" xfId="54" applyFont="1" applyFill="1" applyBorder="1" applyAlignment="1" applyProtection="1">
      <alignment horizontal="left" vertical="top" wrapText="1"/>
      <protection hidden="1"/>
    </xf>
    <xf numFmtId="0" fontId="7" fillId="8" borderId="27" xfId="54" applyFont="1" applyFill="1" applyBorder="1" applyAlignment="1" applyProtection="1">
      <alignment horizontal="left" vertical="top" wrapText="1"/>
      <protection hidden="1"/>
    </xf>
    <xf numFmtId="0" fontId="7" fillId="8" borderId="28" xfId="54" applyFont="1" applyFill="1" applyBorder="1" applyAlignment="1" applyProtection="1">
      <alignment horizontal="left" vertical="top" wrapText="1"/>
      <protection hidden="1"/>
    </xf>
    <xf numFmtId="0" fontId="7" fillId="8" borderId="29" xfId="54" applyFont="1" applyFill="1" applyBorder="1" applyAlignment="1" applyProtection="1">
      <alignment horizontal="left" vertical="top" wrapText="1"/>
      <protection hidden="1"/>
    </xf>
    <xf numFmtId="0" fontId="10" fillId="28" borderId="13" xfId="54" applyFont="1" applyFill="1" applyBorder="1" applyAlignment="1" applyProtection="1">
      <alignment horizontal="left" vertical="top" wrapText="1"/>
      <protection hidden="1"/>
    </xf>
    <xf numFmtId="0" fontId="10" fillId="28" borderId="18" xfId="54" applyFont="1" applyFill="1" applyBorder="1" applyAlignment="1" applyProtection="1">
      <alignment horizontal="left" vertical="top" wrapText="1"/>
      <protection hidden="1"/>
    </xf>
    <xf numFmtId="0" fontId="7" fillId="25" borderId="13" xfId="54" applyFont="1" applyFill="1" applyBorder="1" applyAlignment="1" applyProtection="1">
      <alignment horizontal="center" wrapText="1"/>
      <protection hidden="1"/>
    </xf>
    <xf numFmtId="0" fontId="7" fillId="25" borderId="19" xfId="54" applyFont="1" applyFill="1" applyBorder="1" applyAlignment="1" applyProtection="1">
      <alignment horizontal="center" wrapText="1"/>
      <protection hidden="1"/>
    </xf>
    <xf numFmtId="0" fontId="7" fillId="8" borderId="13" xfId="54" applyFont="1" applyFill="1" applyBorder="1" applyAlignment="1" applyProtection="1">
      <alignment horizontal="left" vertical="top" wrapText="1"/>
      <protection hidden="1"/>
    </xf>
    <xf numFmtId="0" fontId="7" fillId="8" borderId="18" xfId="54" applyFont="1" applyFill="1" applyBorder="1" applyAlignment="1" applyProtection="1">
      <alignment horizontal="left" vertical="top" wrapText="1"/>
      <protection hidden="1"/>
    </xf>
    <xf numFmtId="0" fontId="7" fillId="8" borderId="19" xfId="54" applyFont="1" applyFill="1" applyBorder="1" applyAlignment="1" applyProtection="1">
      <alignment horizontal="left" vertical="top" wrapText="1"/>
      <protection hidden="1"/>
    </xf>
    <xf numFmtId="1" fontId="9" fillId="20" borderId="10" xfId="40" applyNumberFormat="1" applyFont="1" applyFill="1" applyBorder="1" applyAlignment="1" applyProtection="1">
      <alignment/>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Annual per-client management costs</a:t>
            </a:r>
          </a:p>
        </c:rich>
      </c:tx>
      <c:layout/>
      <c:spPr>
        <a:noFill/>
        <a:ln>
          <a:noFill/>
        </a:ln>
      </c:spPr>
    </c:title>
    <c:plotArea>
      <c:layout>
        <c:manualLayout>
          <c:xMode val="edge"/>
          <c:yMode val="edge"/>
          <c:x val="0.023"/>
          <c:y val="0.23375"/>
          <c:w val="0.95125"/>
          <c:h val="0.7097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Summary!$C$16:$D$16</c:f>
              <c:strCache>
                <c:ptCount val="2"/>
                <c:pt idx="0">
                  <c:v>Well-managed Intel vPro/ Centrino Pro</c:v>
                </c:pt>
                <c:pt idx="1">
                  <c:v>Server-based computing with thin clients</c:v>
                </c:pt>
              </c:strCache>
            </c:strRef>
          </c:cat>
          <c:val>
            <c:numRef>
              <c:f>Summary!$C$23:$D$23</c:f>
              <c:numCache>
                <c:ptCount val="2"/>
                <c:pt idx="0">
                  <c:v>518.5799999999999</c:v>
                </c:pt>
                <c:pt idx="1">
                  <c:v>257.14</c:v>
                </c:pt>
              </c:numCache>
            </c:numRef>
          </c:val>
        </c:ser>
        <c:gapWidth val="75"/>
        <c:axId val="14886162"/>
        <c:axId val="66866595"/>
      </c:barChart>
      <c:catAx>
        <c:axId val="14886162"/>
        <c:scaling>
          <c:orientation val="minMax"/>
        </c:scaling>
        <c:axPos val="b"/>
        <c:delete val="0"/>
        <c:numFmt formatCode="General" sourceLinked="1"/>
        <c:majorTickMark val="none"/>
        <c:minorTickMark val="none"/>
        <c:tickLblPos val="nextTo"/>
        <c:spPr>
          <a:ln w="3175">
            <a:solidFill>
              <a:srgbClr val="808080"/>
            </a:solidFill>
          </a:ln>
        </c:spPr>
        <c:crossAx val="66866595"/>
        <c:crosses val="autoZero"/>
        <c:auto val="1"/>
        <c:lblOffset val="100"/>
        <c:tickLblSkip val="1"/>
        <c:noMultiLvlLbl val="0"/>
      </c:catAx>
      <c:valAx>
        <c:axId val="66866595"/>
        <c:scaling>
          <c:orientation val="minMax"/>
          <c:min val="0"/>
        </c:scaling>
        <c:axPos val="l"/>
        <c:delete val="0"/>
        <c:numFmt formatCode="\$#,##0" sourceLinked="0"/>
        <c:majorTickMark val="none"/>
        <c:minorTickMark val="none"/>
        <c:tickLblPos val="nextTo"/>
        <c:spPr>
          <a:ln w="3175">
            <a:solidFill>
              <a:srgbClr val="808080"/>
            </a:solidFill>
          </a:ln>
        </c:spPr>
        <c:crossAx val="14886162"/>
        <c:crossesAt val="1"/>
        <c:crossBetween val="between"/>
        <c:dispUnits/>
      </c:valAx>
      <c:spPr>
        <a:noFill/>
        <a:ln>
          <a:noFill/>
        </a:ln>
      </c:spPr>
    </c:plotArea>
    <c:plotVisOnly val="1"/>
    <c:dispBlanksAs val="gap"/>
    <c:showDLblsOverMax val="0"/>
  </c:chart>
  <c:spPr>
    <a:solidFill>
      <a:srgbClr val="FFFFFF"/>
    </a:solidFill>
    <a:ln w="25400">
      <a:solidFill>
        <a:srgbClr val="000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Compliance
</a:t>
            </a:r>
            <a:r>
              <a:rPr lang="en-US" cap="none" sz="1050" b="1" i="0" u="none" baseline="0">
                <a:solidFill>
                  <a:srgbClr val="000000"/>
                </a:solidFill>
                <a:latin typeface="Calibri"/>
                <a:ea typeface="Calibri"/>
                <a:cs typeface="Calibri"/>
              </a:rPr>
              <a:t>(annual cost for all clients)</a:t>
            </a:r>
          </a:p>
        </c:rich>
      </c:tx>
      <c:layout/>
      <c:spPr>
        <a:noFill/>
        <a:ln>
          <a:noFill/>
        </a:ln>
      </c:spPr>
    </c:title>
    <c:plotArea>
      <c:layout>
        <c:manualLayout>
          <c:xMode val="edge"/>
          <c:yMode val="edge"/>
          <c:x val="0.02275"/>
          <c:y val="0.319"/>
          <c:w val="0.9515"/>
          <c:h val="0.625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Summary!$G$158:$H$158</c:f>
              <c:strCache>
                <c:ptCount val="2"/>
                <c:pt idx="0">
                  <c:v>Well-managed Intel vPro/
Centrino Pro</c:v>
                </c:pt>
                <c:pt idx="1">
                  <c:v>Server-based computing with thin clients</c:v>
                </c:pt>
              </c:strCache>
            </c:strRef>
          </c:cat>
          <c:val>
            <c:numRef>
              <c:f>Summary!$C$142:$D$142</c:f>
              <c:numCache>
                <c:ptCount val="2"/>
                <c:pt idx="0">
                  <c:v>103736.5</c:v>
                </c:pt>
                <c:pt idx="1">
                  <c:v>85038.1</c:v>
                </c:pt>
              </c:numCache>
            </c:numRef>
          </c:val>
        </c:ser>
        <c:gapWidth val="75"/>
        <c:axId val="46229644"/>
        <c:axId val="13413613"/>
      </c:barChart>
      <c:catAx>
        <c:axId val="46229644"/>
        <c:scaling>
          <c:orientation val="minMax"/>
        </c:scaling>
        <c:axPos val="b"/>
        <c:delete val="0"/>
        <c:numFmt formatCode="General" sourceLinked="1"/>
        <c:majorTickMark val="none"/>
        <c:minorTickMark val="none"/>
        <c:tickLblPos val="nextTo"/>
        <c:spPr>
          <a:ln w="3175">
            <a:solidFill>
              <a:srgbClr val="808080"/>
            </a:solidFill>
          </a:ln>
        </c:spPr>
        <c:crossAx val="13413613"/>
        <c:crosses val="autoZero"/>
        <c:auto val="1"/>
        <c:lblOffset val="100"/>
        <c:tickLblSkip val="1"/>
        <c:noMultiLvlLbl val="0"/>
      </c:catAx>
      <c:valAx>
        <c:axId val="13413613"/>
        <c:scaling>
          <c:orientation val="minMax"/>
          <c:min val="0"/>
        </c:scaling>
        <c:axPos val="l"/>
        <c:delete val="0"/>
        <c:numFmt formatCode="\$#,##0" sourceLinked="0"/>
        <c:majorTickMark val="none"/>
        <c:minorTickMark val="none"/>
        <c:tickLblPos val="nextTo"/>
        <c:spPr>
          <a:ln w="3175">
            <a:solidFill>
              <a:srgbClr val="808080"/>
            </a:solidFill>
          </a:ln>
        </c:spPr>
        <c:crossAx val="46229644"/>
        <c:crossesAt val="1"/>
        <c:crossBetween val="between"/>
        <c:dispUnits/>
      </c:valAx>
      <c:spPr>
        <a:noFill/>
        <a:ln>
          <a:noFill/>
        </a:ln>
      </c:spPr>
    </c:plotArea>
    <c:plotVisOnly val="1"/>
    <c:dispBlanksAs val="gap"/>
    <c:showDLblsOverMax val="0"/>
  </c:chart>
  <c:spPr>
    <a:solidFill>
      <a:srgbClr val="FFFFFF"/>
    </a:solidFill>
    <a:ln w="25400">
      <a:solidFill>
        <a:srgbClr val="000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Security 
</a:t>
            </a:r>
            <a:r>
              <a:rPr lang="en-US" cap="none" sz="1050" b="1" i="0" u="none" baseline="0">
                <a:solidFill>
                  <a:srgbClr val="000000"/>
                </a:solidFill>
                <a:latin typeface="Calibri"/>
                <a:ea typeface="Calibri"/>
                <a:cs typeface="Calibri"/>
              </a:rPr>
              <a:t>(annual per client cost)</a:t>
            </a:r>
          </a:p>
        </c:rich>
      </c:tx>
      <c:layout/>
      <c:spPr>
        <a:noFill/>
        <a:ln>
          <a:noFill/>
        </a:ln>
      </c:spPr>
    </c:title>
    <c:plotArea>
      <c:layout>
        <c:manualLayout>
          <c:xMode val="edge"/>
          <c:yMode val="edge"/>
          <c:x val="0.023"/>
          <c:y val="0.32725"/>
          <c:w val="0.9515"/>
          <c:h val="0.6157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Summary!$C$169:$D$169</c:f>
              <c:strCache>
                <c:ptCount val="2"/>
                <c:pt idx="0">
                  <c:v>Well-managed Intel vPro/ Centrino Pro</c:v>
                </c:pt>
                <c:pt idx="1">
                  <c:v>Server-based computing with thin clients</c:v>
                </c:pt>
              </c:strCache>
            </c:strRef>
          </c:cat>
          <c:val>
            <c:numRef>
              <c:f>Summary!$C$170:$D$170</c:f>
              <c:numCache>
                <c:ptCount val="2"/>
                <c:pt idx="0">
                  <c:v>25.31</c:v>
                </c:pt>
                <c:pt idx="1">
                  <c:v>14.7</c:v>
                </c:pt>
              </c:numCache>
            </c:numRef>
          </c:val>
        </c:ser>
        <c:gapWidth val="75"/>
        <c:axId val="53613654"/>
        <c:axId val="12760839"/>
      </c:barChart>
      <c:catAx>
        <c:axId val="53613654"/>
        <c:scaling>
          <c:orientation val="minMax"/>
        </c:scaling>
        <c:axPos val="b"/>
        <c:delete val="0"/>
        <c:numFmt formatCode="General" sourceLinked="1"/>
        <c:majorTickMark val="none"/>
        <c:minorTickMark val="none"/>
        <c:tickLblPos val="nextTo"/>
        <c:spPr>
          <a:ln w="3175">
            <a:solidFill>
              <a:srgbClr val="808080"/>
            </a:solidFill>
          </a:ln>
        </c:spPr>
        <c:crossAx val="12760839"/>
        <c:crosses val="autoZero"/>
        <c:auto val="1"/>
        <c:lblOffset val="100"/>
        <c:tickLblSkip val="1"/>
        <c:noMultiLvlLbl val="0"/>
      </c:catAx>
      <c:valAx>
        <c:axId val="12760839"/>
        <c:scaling>
          <c:orientation val="minMax"/>
          <c:min val="0"/>
        </c:scaling>
        <c:axPos val="l"/>
        <c:delete val="0"/>
        <c:numFmt formatCode="\$#,##0" sourceLinked="0"/>
        <c:majorTickMark val="none"/>
        <c:minorTickMark val="none"/>
        <c:tickLblPos val="nextTo"/>
        <c:spPr>
          <a:ln w="3175">
            <a:solidFill>
              <a:srgbClr val="808080"/>
            </a:solidFill>
          </a:ln>
        </c:spPr>
        <c:crossAx val="53613654"/>
        <c:crossesAt val="1"/>
        <c:crossBetween val="between"/>
        <c:dispUnits/>
      </c:valAx>
      <c:spPr>
        <a:noFill/>
        <a:ln>
          <a:noFill/>
        </a:ln>
      </c:spPr>
    </c:plotArea>
    <c:plotVisOnly val="1"/>
    <c:dispBlanksAs val="gap"/>
    <c:showDLblsOverMax val="0"/>
  </c:chart>
  <c:spPr>
    <a:solidFill>
      <a:srgbClr val="FFFFFF"/>
    </a:solidFill>
    <a:ln w="25400">
      <a:solidFill>
        <a:srgbClr val="000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Security
</a:t>
            </a:r>
            <a:r>
              <a:rPr lang="en-US" cap="none" sz="1050" b="1" i="0" u="none" baseline="0">
                <a:solidFill>
                  <a:srgbClr val="000000"/>
                </a:solidFill>
                <a:latin typeface="Calibri"/>
                <a:ea typeface="Calibri"/>
                <a:cs typeface="Calibri"/>
              </a:rPr>
              <a:t>(annual cost for all clients)</a:t>
            </a:r>
          </a:p>
        </c:rich>
      </c:tx>
      <c:layout/>
      <c:spPr>
        <a:noFill/>
        <a:ln>
          <a:noFill/>
        </a:ln>
      </c:spPr>
    </c:title>
    <c:plotArea>
      <c:layout>
        <c:manualLayout>
          <c:xMode val="edge"/>
          <c:yMode val="edge"/>
          <c:x val="0.02275"/>
          <c:y val="0.32875"/>
          <c:w val="0.95175"/>
          <c:h val="0.614"/>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Summary!$C$169:$D$169</c:f>
              <c:strCache>
                <c:ptCount val="2"/>
                <c:pt idx="0">
                  <c:v>Well-managed Intel vPro/ Centrino Pro</c:v>
                </c:pt>
                <c:pt idx="1">
                  <c:v>Server-based computing with thin clients</c:v>
                </c:pt>
              </c:strCache>
            </c:strRef>
          </c:cat>
          <c:val>
            <c:numRef>
              <c:f>Summary!$C$171:$D$171</c:f>
              <c:numCache>
                <c:ptCount val="2"/>
                <c:pt idx="0">
                  <c:v>202459.84</c:v>
                </c:pt>
                <c:pt idx="1">
                  <c:v>117608.73999999999</c:v>
                </c:pt>
              </c:numCache>
            </c:numRef>
          </c:val>
        </c:ser>
        <c:gapWidth val="75"/>
        <c:axId val="47738688"/>
        <c:axId val="26995009"/>
      </c:barChart>
      <c:catAx>
        <c:axId val="47738688"/>
        <c:scaling>
          <c:orientation val="minMax"/>
        </c:scaling>
        <c:axPos val="b"/>
        <c:delete val="0"/>
        <c:numFmt formatCode="General" sourceLinked="1"/>
        <c:majorTickMark val="none"/>
        <c:minorTickMark val="none"/>
        <c:tickLblPos val="nextTo"/>
        <c:spPr>
          <a:ln w="3175">
            <a:solidFill>
              <a:srgbClr val="808080"/>
            </a:solidFill>
          </a:ln>
        </c:spPr>
        <c:crossAx val="26995009"/>
        <c:crosses val="autoZero"/>
        <c:auto val="1"/>
        <c:lblOffset val="100"/>
        <c:tickLblSkip val="1"/>
        <c:noMultiLvlLbl val="0"/>
      </c:catAx>
      <c:valAx>
        <c:axId val="26995009"/>
        <c:scaling>
          <c:orientation val="minMax"/>
          <c:min val="0"/>
        </c:scaling>
        <c:axPos val="l"/>
        <c:delete val="0"/>
        <c:numFmt formatCode="\$#,##0" sourceLinked="0"/>
        <c:majorTickMark val="none"/>
        <c:minorTickMark val="none"/>
        <c:tickLblPos val="nextTo"/>
        <c:spPr>
          <a:ln w="3175">
            <a:solidFill>
              <a:srgbClr val="808080"/>
            </a:solidFill>
          </a:ln>
        </c:spPr>
        <c:crossAx val="47738688"/>
        <c:crossesAt val="1"/>
        <c:crossBetween val="between"/>
        <c:dispUnits/>
      </c:valAx>
      <c:spPr>
        <a:noFill/>
        <a:ln>
          <a:noFill/>
        </a:ln>
      </c:spPr>
    </c:plotArea>
    <c:plotVisOnly val="1"/>
    <c:dispBlanksAs val="gap"/>
    <c:showDLblsOverMax val="0"/>
  </c:chart>
  <c:spPr>
    <a:solidFill>
      <a:srgbClr val="FFFFFF"/>
    </a:solidFill>
    <a:ln w="25400">
      <a:solidFill>
        <a:srgbClr val="000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Help desk support and services
</a:t>
            </a:r>
            <a:r>
              <a:rPr lang="en-US" cap="none" sz="1050" b="1" i="0" u="none" baseline="0">
                <a:solidFill>
                  <a:srgbClr val="000000"/>
                </a:solidFill>
                <a:latin typeface="Calibri"/>
                <a:ea typeface="Calibri"/>
                <a:cs typeface="Calibri"/>
              </a:rPr>
              <a:t>(</a:t>
            </a:r>
            <a:r>
              <a:rPr lang="en-US" cap="none" sz="1000" b="1" i="0" u="none" baseline="0">
                <a:solidFill>
                  <a:srgbClr val="000000"/>
                </a:solidFill>
                <a:latin typeface="Calibri"/>
                <a:ea typeface="Calibri"/>
                <a:cs typeface="Calibri"/>
              </a:rPr>
              <a:t>total </a:t>
            </a:r>
            <a:r>
              <a:rPr lang="en-US" cap="none" sz="1050" b="1" i="0" u="none" baseline="0">
                <a:solidFill>
                  <a:srgbClr val="000000"/>
                </a:solidFill>
                <a:latin typeface="Calibri"/>
                <a:ea typeface="Calibri"/>
                <a:cs typeface="Calibri"/>
              </a:rPr>
              <a:t>annual cost for all clients)</a:t>
            </a:r>
          </a:p>
        </c:rich>
      </c:tx>
      <c:layout/>
      <c:spPr>
        <a:noFill/>
        <a:ln>
          <a:noFill/>
        </a:ln>
      </c:spPr>
    </c:title>
    <c:plotArea>
      <c:layout>
        <c:manualLayout>
          <c:xMode val="edge"/>
          <c:yMode val="edge"/>
          <c:x val="0.023"/>
          <c:y val="0.3255"/>
          <c:w val="0.9515"/>
          <c:h val="0.6177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Summary!$C$63:$D$63</c:f>
              <c:strCache>
                <c:ptCount val="2"/>
                <c:pt idx="0">
                  <c:v>Well-managed Intel vPro/ Centrino Pro</c:v>
                </c:pt>
                <c:pt idx="1">
                  <c:v>Server-based computing with thin clients</c:v>
                </c:pt>
              </c:strCache>
            </c:strRef>
          </c:cat>
          <c:val>
            <c:numRef>
              <c:f>Summary!$C$65:$D$65</c:f>
              <c:numCache>
                <c:ptCount val="2"/>
                <c:pt idx="0">
                  <c:v>2907550.08</c:v>
                </c:pt>
                <c:pt idx="1">
                  <c:v>1125359.8399999999</c:v>
                </c:pt>
              </c:numCache>
            </c:numRef>
          </c:val>
        </c:ser>
        <c:gapWidth val="75"/>
        <c:axId val="41628490"/>
        <c:axId val="39112091"/>
      </c:barChart>
      <c:catAx>
        <c:axId val="41628490"/>
        <c:scaling>
          <c:orientation val="minMax"/>
        </c:scaling>
        <c:axPos val="b"/>
        <c:delete val="0"/>
        <c:numFmt formatCode="General" sourceLinked="1"/>
        <c:majorTickMark val="none"/>
        <c:minorTickMark val="none"/>
        <c:tickLblPos val="nextTo"/>
        <c:spPr>
          <a:ln w="3175">
            <a:solidFill>
              <a:srgbClr val="808080"/>
            </a:solidFill>
          </a:ln>
        </c:spPr>
        <c:crossAx val="39112091"/>
        <c:crosses val="autoZero"/>
        <c:auto val="1"/>
        <c:lblOffset val="100"/>
        <c:tickLblSkip val="1"/>
        <c:noMultiLvlLbl val="0"/>
      </c:catAx>
      <c:valAx>
        <c:axId val="39112091"/>
        <c:scaling>
          <c:orientation val="minMax"/>
          <c:min val="0"/>
        </c:scaling>
        <c:axPos val="l"/>
        <c:delete val="0"/>
        <c:numFmt formatCode="\$#,##0" sourceLinked="0"/>
        <c:majorTickMark val="none"/>
        <c:minorTickMark val="none"/>
        <c:tickLblPos val="nextTo"/>
        <c:spPr>
          <a:ln w="3175">
            <a:solidFill>
              <a:srgbClr val="808080"/>
            </a:solidFill>
          </a:ln>
        </c:spPr>
        <c:crossAx val="41628490"/>
        <c:crossesAt val="1"/>
        <c:crossBetween val="between"/>
        <c:dispUnits/>
      </c:valAx>
      <c:spPr>
        <a:noFill/>
        <a:ln>
          <a:noFill/>
        </a:ln>
      </c:spPr>
    </c:plotArea>
    <c:plotVisOnly val="1"/>
    <c:dispBlanksAs val="gap"/>
    <c:showDLblsOverMax val="0"/>
  </c:chart>
  <c:spPr>
    <a:solidFill>
      <a:srgbClr val="FFFFFF"/>
    </a:solidFill>
    <a:ln w="25400">
      <a:solidFill>
        <a:srgbClr val="000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Manageability costs
</a:t>
            </a:r>
            <a:r>
              <a:rPr lang="en-US" cap="none" sz="1050" b="1" i="0" u="none" baseline="0">
                <a:solidFill>
                  <a:srgbClr val="000000"/>
                </a:solidFill>
                <a:latin typeface="Calibri"/>
                <a:ea typeface="Calibri"/>
                <a:cs typeface="Calibri"/>
              </a:rPr>
              <a:t>(annual per-client cost)</a:t>
            </a:r>
          </a:p>
        </c:rich>
      </c:tx>
      <c:layout/>
      <c:spPr>
        <a:noFill/>
        <a:ln>
          <a:noFill/>
        </a:ln>
      </c:spPr>
    </c:title>
    <c:plotArea>
      <c:layout>
        <c:manualLayout>
          <c:xMode val="edge"/>
          <c:yMode val="edge"/>
          <c:x val="0.0225"/>
          <c:y val="0.32875"/>
          <c:w val="0.95225"/>
          <c:h val="0.614"/>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Summary!$C$16:$D$16</c:f>
              <c:strCache>
                <c:ptCount val="2"/>
                <c:pt idx="0">
                  <c:v>Well-managed Intel vPro/ Centrino Pro</c:v>
                </c:pt>
                <c:pt idx="1">
                  <c:v>Server-based computing with thin clients</c:v>
                </c:pt>
              </c:strCache>
            </c:strRef>
          </c:cat>
          <c:val>
            <c:numRef>
              <c:f>Summary!$C$23:$D$23</c:f>
              <c:numCache>
                <c:ptCount val="2"/>
                <c:pt idx="0">
                  <c:v>518.5799999999999</c:v>
                </c:pt>
                <c:pt idx="1">
                  <c:v>257.14</c:v>
                </c:pt>
              </c:numCache>
            </c:numRef>
          </c:val>
        </c:ser>
        <c:gapWidth val="75"/>
        <c:axId val="16464500"/>
        <c:axId val="13962773"/>
      </c:barChart>
      <c:catAx>
        <c:axId val="16464500"/>
        <c:scaling>
          <c:orientation val="minMax"/>
        </c:scaling>
        <c:axPos val="b"/>
        <c:delete val="0"/>
        <c:numFmt formatCode="General" sourceLinked="1"/>
        <c:majorTickMark val="none"/>
        <c:minorTickMark val="none"/>
        <c:tickLblPos val="nextTo"/>
        <c:spPr>
          <a:ln w="3175">
            <a:solidFill>
              <a:srgbClr val="808080"/>
            </a:solidFill>
          </a:ln>
        </c:spPr>
        <c:crossAx val="13962773"/>
        <c:crosses val="autoZero"/>
        <c:auto val="1"/>
        <c:lblOffset val="100"/>
        <c:tickLblSkip val="1"/>
        <c:noMultiLvlLbl val="0"/>
      </c:catAx>
      <c:valAx>
        <c:axId val="13962773"/>
        <c:scaling>
          <c:orientation val="minMax"/>
          <c:min val="0"/>
        </c:scaling>
        <c:axPos val="l"/>
        <c:delete val="0"/>
        <c:numFmt formatCode="\$#,##0" sourceLinked="0"/>
        <c:majorTickMark val="none"/>
        <c:minorTickMark val="none"/>
        <c:tickLblPos val="nextTo"/>
        <c:spPr>
          <a:ln w="3175">
            <a:solidFill>
              <a:srgbClr val="808080"/>
            </a:solidFill>
          </a:ln>
        </c:spPr>
        <c:crossAx val="16464500"/>
        <c:crossesAt val="1"/>
        <c:crossBetween val="between"/>
        <c:dispUnits/>
      </c:valAx>
      <c:spPr>
        <a:noFill/>
        <a:ln>
          <a:noFill/>
        </a:ln>
      </c:spPr>
    </c:plotArea>
    <c:plotVisOnly val="1"/>
    <c:dispBlanksAs val="gap"/>
    <c:showDLblsOverMax val="0"/>
  </c:chart>
  <c:spPr>
    <a:solidFill>
      <a:srgbClr val="FFFFFF"/>
    </a:solidFill>
    <a:ln w="25400">
      <a:solidFill>
        <a:srgbClr val="000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Manageability costs
</a:t>
            </a:r>
            <a:r>
              <a:rPr lang="en-US" cap="none" sz="1050" b="1" i="0" u="none" baseline="0">
                <a:solidFill>
                  <a:srgbClr val="000000"/>
                </a:solidFill>
                <a:latin typeface="Calibri"/>
                <a:ea typeface="Calibri"/>
                <a:cs typeface="Calibri"/>
              </a:rPr>
              <a:t>(total annual cost for all clients)</a:t>
            </a:r>
          </a:p>
        </c:rich>
      </c:tx>
      <c:layout/>
      <c:spPr>
        <a:noFill/>
        <a:ln>
          <a:noFill/>
        </a:ln>
      </c:spPr>
    </c:title>
    <c:plotArea>
      <c:layout>
        <c:manualLayout>
          <c:xMode val="edge"/>
          <c:yMode val="edge"/>
          <c:x val="0.02275"/>
          <c:y val="0.3255"/>
          <c:w val="0.95175"/>
          <c:h val="0.6177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Summary!$C$16:$D$16</c:f>
              <c:strCache>
                <c:ptCount val="2"/>
                <c:pt idx="0">
                  <c:v>Well-managed Intel vPro/ Centrino Pro</c:v>
                </c:pt>
                <c:pt idx="1">
                  <c:v>Server-based computing with thin clients</c:v>
                </c:pt>
              </c:strCache>
            </c:strRef>
          </c:cat>
          <c:val>
            <c:numRef>
              <c:f>Summary!$G$23:$H$23</c:f>
              <c:numCache>
                <c:ptCount val="2"/>
                <c:pt idx="0">
                  <c:v>4148731</c:v>
                </c:pt>
                <c:pt idx="1">
                  <c:v>2057076</c:v>
                </c:pt>
              </c:numCache>
            </c:numRef>
          </c:val>
        </c:ser>
        <c:gapWidth val="75"/>
        <c:axId val="58556094"/>
        <c:axId val="57242799"/>
      </c:barChart>
      <c:catAx>
        <c:axId val="58556094"/>
        <c:scaling>
          <c:orientation val="minMax"/>
        </c:scaling>
        <c:axPos val="b"/>
        <c:delete val="0"/>
        <c:numFmt formatCode="General" sourceLinked="1"/>
        <c:majorTickMark val="none"/>
        <c:minorTickMark val="none"/>
        <c:tickLblPos val="nextTo"/>
        <c:spPr>
          <a:ln w="3175">
            <a:solidFill>
              <a:srgbClr val="808080"/>
            </a:solidFill>
          </a:ln>
        </c:spPr>
        <c:crossAx val="57242799"/>
        <c:crosses val="autoZero"/>
        <c:auto val="1"/>
        <c:lblOffset val="100"/>
        <c:tickLblSkip val="1"/>
        <c:noMultiLvlLbl val="0"/>
      </c:catAx>
      <c:valAx>
        <c:axId val="57242799"/>
        <c:scaling>
          <c:orientation val="minMax"/>
          <c:min val="0"/>
        </c:scaling>
        <c:axPos val="l"/>
        <c:delete val="0"/>
        <c:numFmt formatCode="\$#,##0" sourceLinked="0"/>
        <c:majorTickMark val="none"/>
        <c:minorTickMark val="none"/>
        <c:tickLblPos val="nextTo"/>
        <c:spPr>
          <a:ln w="3175">
            <a:solidFill>
              <a:srgbClr val="808080"/>
            </a:solidFill>
          </a:ln>
        </c:spPr>
        <c:crossAx val="58556094"/>
        <c:crossesAt val="1"/>
        <c:crossBetween val="between"/>
        <c:dispUnits/>
      </c:valAx>
      <c:spPr>
        <a:noFill/>
        <a:ln>
          <a:noFill/>
        </a:ln>
      </c:spPr>
    </c:plotArea>
    <c:plotVisOnly val="1"/>
    <c:dispBlanksAs val="gap"/>
    <c:showDLblsOverMax val="0"/>
  </c:chart>
  <c:spPr>
    <a:solidFill>
      <a:srgbClr val="FFFFFF"/>
    </a:solidFill>
    <a:ln w="25400">
      <a:solidFill>
        <a:srgbClr val="000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Software patches and updates
</a:t>
            </a:r>
            <a:r>
              <a:rPr lang="en-US" cap="none" sz="1050" b="1" i="0" u="none" baseline="0">
                <a:solidFill>
                  <a:srgbClr val="000000"/>
                </a:solidFill>
                <a:latin typeface="Calibri"/>
                <a:ea typeface="Calibri"/>
                <a:cs typeface="Calibri"/>
              </a:rPr>
              <a:t>(annual per-client cost)</a:t>
            </a:r>
          </a:p>
        </c:rich>
      </c:tx>
      <c:layout/>
      <c:spPr>
        <a:noFill/>
        <a:ln>
          <a:noFill/>
        </a:ln>
      </c:spPr>
    </c:title>
    <c:plotArea>
      <c:layout>
        <c:manualLayout>
          <c:xMode val="edge"/>
          <c:yMode val="edge"/>
          <c:x val="0.016"/>
          <c:y val="0.25675"/>
          <c:w val="0.95525"/>
          <c:h val="0.6997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Summary!$C$33:$D$33</c:f>
              <c:strCache>
                <c:ptCount val="2"/>
                <c:pt idx="0">
                  <c:v>Well-managed Intel vPro/ Centrino Pro</c:v>
                </c:pt>
                <c:pt idx="1">
                  <c:v>Server-based computing with thin clients</c:v>
                </c:pt>
              </c:strCache>
            </c:strRef>
          </c:cat>
          <c:val>
            <c:numRef>
              <c:f>Summary!$C$34:$D$34</c:f>
              <c:numCache>
                <c:ptCount val="2"/>
                <c:pt idx="0">
                  <c:v>17.7</c:v>
                </c:pt>
                <c:pt idx="1">
                  <c:v>15.950000000000001</c:v>
                </c:pt>
              </c:numCache>
            </c:numRef>
          </c:val>
        </c:ser>
        <c:gapWidth val="75"/>
        <c:axId val="64928444"/>
        <c:axId val="47485085"/>
      </c:barChart>
      <c:catAx>
        <c:axId val="64928444"/>
        <c:scaling>
          <c:orientation val="minMax"/>
        </c:scaling>
        <c:axPos val="b"/>
        <c:delete val="0"/>
        <c:numFmt formatCode="General" sourceLinked="1"/>
        <c:majorTickMark val="none"/>
        <c:minorTickMark val="none"/>
        <c:tickLblPos val="nextTo"/>
        <c:spPr>
          <a:ln w="3175">
            <a:solidFill>
              <a:srgbClr val="808080"/>
            </a:solidFill>
          </a:ln>
        </c:spPr>
        <c:crossAx val="47485085"/>
        <c:crosses val="autoZero"/>
        <c:auto val="1"/>
        <c:lblOffset val="100"/>
        <c:tickLblSkip val="1"/>
        <c:noMultiLvlLbl val="0"/>
      </c:catAx>
      <c:valAx>
        <c:axId val="47485085"/>
        <c:scaling>
          <c:orientation val="minMax"/>
          <c:min val="0"/>
        </c:scaling>
        <c:axPos val="l"/>
        <c:delete val="0"/>
        <c:numFmt formatCode="\$#,##0" sourceLinked="0"/>
        <c:majorTickMark val="none"/>
        <c:minorTickMark val="none"/>
        <c:tickLblPos val="nextTo"/>
        <c:spPr>
          <a:ln w="3175">
            <a:solidFill>
              <a:srgbClr val="808080"/>
            </a:solidFill>
          </a:ln>
        </c:spPr>
        <c:crossAx val="64928444"/>
        <c:crossesAt val="1"/>
        <c:crossBetween val="between"/>
        <c:dispUnits/>
      </c:valAx>
      <c:spPr>
        <a:noFill/>
        <a:ln>
          <a:noFill/>
        </a:ln>
      </c:spPr>
    </c:plotArea>
    <c:plotVisOnly val="1"/>
    <c:dispBlanksAs val="gap"/>
    <c:showDLblsOverMax val="0"/>
  </c:chart>
  <c:spPr>
    <a:solidFill>
      <a:srgbClr val="FFFFFF"/>
    </a:solidFill>
    <a:ln w="25400">
      <a:solidFill>
        <a:srgbClr val="000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Help desk support and services
</a:t>
            </a:r>
            <a:r>
              <a:rPr lang="en-US" cap="none" sz="1050" b="1" i="0" u="none" baseline="0">
                <a:solidFill>
                  <a:srgbClr val="000000"/>
                </a:solidFill>
                <a:latin typeface="Calibri"/>
                <a:ea typeface="Calibri"/>
                <a:cs typeface="Calibri"/>
              </a:rPr>
              <a:t>(annual per-client cost)</a:t>
            </a:r>
          </a:p>
        </c:rich>
      </c:tx>
      <c:layout/>
      <c:spPr>
        <a:noFill/>
        <a:ln>
          <a:noFill/>
        </a:ln>
      </c:spPr>
    </c:title>
    <c:plotArea>
      <c:layout>
        <c:manualLayout>
          <c:xMode val="edge"/>
          <c:yMode val="edge"/>
          <c:x val="0.023"/>
          <c:y val="0.32175"/>
          <c:w val="0.951"/>
          <c:h val="0.62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Summary!$C$63:$D$63</c:f>
              <c:strCache>
                <c:ptCount val="2"/>
                <c:pt idx="0">
                  <c:v>Well-managed Intel vPro/ Centrino Pro</c:v>
                </c:pt>
                <c:pt idx="1">
                  <c:v>Server-based computing with thin clients</c:v>
                </c:pt>
              </c:strCache>
            </c:strRef>
          </c:cat>
          <c:val>
            <c:numRef>
              <c:f>Summary!$C$64:$D$64</c:f>
              <c:numCache>
                <c:ptCount val="2"/>
                <c:pt idx="0">
                  <c:v>363.44</c:v>
                </c:pt>
                <c:pt idx="1">
                  <c:v>140.67</c:v>
                </c:pt>
              </c:numCache>
            </c:numRef>
          </c:val>
        </c:ser>
        <c:gapWidth val="75"/>
        <c:axId val="24712582"/>
        <c:axId val="21086647"/>
      </c:barChart>
      <c:catAx>
        <c:axId val="24712582"/>
        <c:scaling>
          <c:orientation val="minMax"/>
        </c:scaling>
        <c:axPos val="b"/>
        <c:delete val="0"/>
        <c:numFmt formatCode="General" sourceLinked="1"/>
        <c:majorTickMark val="none"/>
        <c:minorTickMark val="none"/>
        <c:tickLblPos val="nextTo"/>
        <c:spPr>
          <a:ln w="3175">
            <a:solidFill>
              <a:srgbClr val="808080"/>
            </a:solidFill>
          </a:ln>
        </c:spPr>
        <c:crossAx val="21086647"/>
        <c:crosses val="autoZero"/>
        <c:auto val="1"/>
        <c:lblOffset val="100"/>
        <c:tickLblSkip val="1"/>
        <c:noMultiLvlLbl val="0"/>
      </c:catAx>
      <c:valAx>
        <c:axId val="21086647"/>
        <c:scaling>
          <c:orientation val="minMax"/>
          <c:min val="0"/>
        </c:scaling>
        <c:axPos val="l"/>
        <c:delete val="0"/>
        <c:numFmt formatCode="\$#,##0" sourceLinked="0"/>
        <c:majorTickMark val="none"/>
        <c:minorTickMark val="none"/>
        <c:tickLblPos val="nextTo"/>
        <c:spPr>
          <a:ln w="3175">
            <a:solidFill>
              <a:srgbClr val="808080"/>
            </a:solidFill>
          </a:ln>
        </c:spPr>
        <c:crossAx val="24712582"/>
        <c:crossesAt val="1"/>
        <c:crossBetween val="between"/>
        <c:dispUnits/>
      </c:valAx>
      <c:spPr>
        <a:noFill/>
        <a:ln>
          <a:noFill/>
        </a:ln>
      </c:spPr>
    </c:plotArea>
    <c:plotVisOnly val="1"/>
    <c:dispBlanksAs val="gap"/>
    <c:showDLblsOverMax val="0"/>
  </c:chart>
  <c:spPr>
    <a:solidFill>
      <a:srgbClr val="FFFFFF"/>
    </a:solidFill>
    <a:ln w="25400">
      <a:solidFill>
        <a:srgbClr val="000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Software patches and updates
</a:t>
            </a:r>
            <a:r>
              <a:rPr lang="en-US" cap="none" sz="1050" b="1" i="0" u="none" baseline="0">
                <a:solidFill>
                  <a:srgbClr val="000000"/>
                </a:solidFill>
                <a:latin typeface="Calibri"/>
                <a:ea typeface="Calibri"/>
                <a:cs typeface="Calibri"/>
              </a:rPr>
              <a:t>(</a:t>
            </a:r>
            <a:r>
              <a:rPr lang="en-US" cap="none" sz="1000" b="1" i="0" u="none" baseline="0">
                <a:solidFill>
                  <a:srgbClr val="000000"/>
                </a:solidFill>
                <a:latin typeface="Calibri"/>
                <a:ea typeface="Calibri"/>
                <a:cs typeface="Calibri"/>
              </a:rPr>
              <a:t>total </a:t>
            </a:r>
            <a:r>
              <a:rPr lang="en-US" cap="none" sz="1050" b="1" i="0" u="none" baseline="0">
                <a:solidFill>
                  <a:srgbClr val="000000"/>
                </a:solidFill>
                <a:latin typeface="Calibri"/>
                <a:ea typeface="Calibri"/>
                <a:cs typeface="Calibri"/>
              </a:rPr>
              <a:t>annual cost for all clients)</a:t>
            </a:r>
          </a:p>
        </c:rich>
      </c:tx>
      <c:layout/>
      <c:spPr>
        <a:noFill/>
        <a:ln>
          <a:noFill/>
        </a:ln>
      </c:spPr>
    </c:title>
    <c:plotArea>
      <c:layout>
        <c:manualLayout>
          <c:xMode val="edge"/>
          <c:yMode val="edge"/>
          <c:x val="0"/>
          <c:y val="0.301"/>
          <c:w val="0.99075"/>
          <c:h val="0.641"/>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Summary!$C$33:$D$33</c:f>
              <c:strCache>
                <c:ptCount val="2"/>
                <c:pt idx="0">
                  <c:v>Well-managed Intel vPro/ Centrino Pro</c:v>
                </c:pt>
                <c:pt idx="1">
                  <c:v>Server-based computing with thin clients</c:v>
                </c:pt>
              </c:strCache>
            </c:strRef>
          </c:cat>
          <c:val>
            <c:numRef>
              <c:f>Summary!$C$35:$D$35</c:f>
              <c:numCache>
                <c:ptCount val="2"/>
                <c:pt idx="0">
                  <c:v>141669.5</c:v>
                </c:pt>
                <c:pt idx="1">
                  <c:v>127569.26</c:v>
                </c:pt>
              </c:numCache>
            </c:numRef>
          </c:val>
        </c:ser>
        <c:gapWidth val="75"/>
        <c:axId val="55562096"/>
        <c:axId val="30296817"/>
      </c:barChart>
      <c:catAx>
        <c:axId val="55562096"/>
        <c:scaling>
          <c:orientation val="minMax"/>
        </c:scaling>
        <c:axPos val="b"/>
        <c:delete val="0"/>
        <c:numFmt formatCode="General" sourceLinked="1"/>
        <c:majorTickMark val="none"/>
        <c:minorTickMark val="none"/>
        <c:tickLblPos val="nextTo"/>
        <c:spPr>
          <a:ln w="3175">
            <a:solidFill>
              <a:srgbClr val="808080"/>
            </a:solidFill>
          </a:ln>
        </c:spPr>
        <c:crossAx val="30296817"/>
        <c:crosses val="autoZero"/>
        <c:auto val="1"/>
        <c:lblOffset val="100"/>
        <c:tickLblSkip val="1"/>
        <c:noMultiLvlLbl val="0"/>
      </c:catAx>
      <c:valAx>
        <c:axId val="30296817"/>
        <c:scaling>
          <c:orientation val="minMax"/>
          <c:min val="0"/>
        </c:scaling>
        <c:axPos val="l"/>
        <c:delete val="0"/>
        <c:numFmt formatCode="\$#,##0" sourceLinked="0"/>
        <c:majorTickMark val="none"/>
        <c:minorTickMark val="none"/>
        <c:tickLblPos val="nextTo"/>
        <c:spPr>
          <a:ln w="3175">
            <a:solidFill>
              <a:srgbClr val="808080"/>
            </a:solidFill>
          </a:ln>
        </c:spPr>
        <c:crossAx val="55562096"/>
        <c:crossesAt val="1"/>
        <c:crossBetween val="between"/>
        <c:dispUnits/>
      </c:valAx>
      <c:spPr>
        <a:noFill/>
        <a:ln>
          <a:noFill/>
        </a:ln>
      </c:spPr>
    </c:plotArea>
    <c:plotVisOnly val="1"/>
    <c:dispBlanksAs val="gap"/>
    <c:showDLblsOverMax val="0"/>
  </c:chart>
  <c:spPr>
    <a:solidFill>
      <a:srgbClr val="FFFFFF"/>
    </a:solidFill>
    <a:ln w="25400">
      <a:solidFill>
        <a:srgbClr val="000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Asset Inventory
</a:t>
            </a:r>
            <a:r>
              <a:rPr lang="en-US" cap="none" sz="1050" b="1" i="0" u="none" baseline="0">
                <a:solidFill>
                  <a:srgbClr val="000000"/>
                </a:solidFill>
                <a:latin typeface="Calibri"/>
                <a:ea typeface="Calibri"/>
                <a:cs typeface="Calibri"/>
              </a:rPr>
              <a:t>(annual per-client cost)</a:t>
            </a:r>
          </a:p>
        </c:rich>
      </c:tx>
      <c:layout/>
      <c:spPr>
        <a:noFill/>
        <a:ln>
          <a:noFill/>
        </a:ln>
      </c:spPr>
    </c:title>
    <c:plotArea>
      <c:layout>
        <c:manualLayout>
          <c:xMode val="edge"/>
          <c:yMode val="edge"/>
          <c:x val="0.0225"/>
          <c:y val="0.32175"/>
          <c:w val="0.95225"/>
          <c:h val="0.62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Summary!$C$89:$D$89</c:f>
              <c:strCache>
                <c:ptCount val="2"/>
                <c:pt idx="0">
                  <c:v>Well-managed Intel vPro/ Centrino Pro</c:v>
                </c:pt>
                <c:pt idx="1">
                  <c:v>Server-based computing with thin clients</c:v>
                </c:pt>
              </c:strCache>
            </c:strRef>
          </c:cat>
          <c:val>
            <c:numRef>
              <c:f>Summary!$C$90:$D$90</c:f>
              <c:numCache>
                <c:ptCount val="2"/>
                <c:pt idx="0">
                  <c:v>20.01</c:v>
                </c:pt>
                <c:pt idx="1">
                  <c:v>20.01</c:v>
                </c:pt>
              </c:numCache>
            </c:numRef>
          </c:val>
        </c:ser>
        <c:gapWidth val="75"/>
        <c:axId val="4235898"/>
        <c:axId val="38123083"/>
      </c:barChart>
      <c:catAx>
        <c:axId val="4235898"/>
        <c:scaling>
          <c:orientation val="minMax"/>
        </c:scaling>
        <c:axPos val="b"/>
        <c:delete val="0"/>
        <c:numFmt formatCode="General" sourceLinked="1"/>
        <c:majorTickMark val="none"/>
        <c:minorTickMark val="none"/>
        <c:tickLblPos val="nextTo"/>
        <c:spPr>
          <a:ln w="3175">
            <a:solidFill>
              <a:srgbClr val="808080"/>
            </a:solidFill>
          </a:ln>
        </c:spPr>
        <c:crossAx val="38123083"/>
        <c:crosses val="autoZero"/>
        <c:auto val="1"/>
        <c:lblOffset val="100"/>
        <c:tickLblSkip val="1"/>
        <c:noMultiLvlLbl val="0"/>
      </c:catAx>
      <c:valAx>
        <c:axId val="38123083"/>
        <c:scaling>
          <c:orientation val="minMax"/>
          <c:max val="150"/>
          <c:min val="0"/>
        </c:scaling>
        <c:axPos val="l"/>
        <c:delete val="0"/>
        <c:numFmt formatCode="\$#,##0" sourceLinked="0"/>
        <c:majorTickMark val="none"/>
        <c:minorTickMark val="none"/>
        <c:tickLblPos val="nextTo"/>
        <c:spPr>
          <a:ln w="3175">
            <a:solidFill>
              <a:srgbClr val="808080"/>
            </a:solidFill>
          </a:ln>
        </c:spPr>
        <c:crossAx val="4235898"/>
        <c:crossesAt val="1"/>
        <c:crossBetween val="between"/>
        <c:dispUnits/>
      </c:valAx>
      <c:spPr>
        <a:noFill/>
        <a:ln>
          <a:noFill/>
        </a:ln>
      </c:spPr>
    </c:plotArea>
    <c:plotVisOnly val="1"/>
    <c:dispBlanksAs val="gap"/>
    <c:showDLblsOverMax val="0"/>
  </c:chart>
  <c:spPr>
    <a:solidFill>
      <a:srgbClr val="FFFFFF"/>
    </a:solidFill>
    <a:ln w="25400">
      <a:solidFill>
        <a:srgbClr val="000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Asset Inventory
</a:t>
            </a:r>
            <a:r>
              <a:rPr lang="en-US" cap="none" sz="1050" b="1" i="0" u="none" baseline="0">
                <a:solidFill>
                  <a:srgbClr val="000000"/>
                </a:solidFill>
                <a:latin typeface="Calibri"/>
                <a:ea typeface="Calibri"/>
                <a:cs typeface="Calibri"/>
              </a:rPr>
              <a:t>(</a:t>
            </a:r>
            <a:r>
              <a:rPr lang="en-US" cap="none" sz="1000" b="1" i="0" u="none" baseline="0">
                <a:solidFill>
                  <a:srgbClr val="000000"/>
                </a:solidFill>
                <a:latin typeface="Calibri"/>
                <a:ea typeface="Calibri"/>
                <a:cs typeface="Calibri"/>
              </a:rPr>
              <a:t>total </a:t>
            </a:r>
            <a:r>
              <a:rPr lang="en-US" cap="none" sz="1050" b="1" i="0" u="none" baseline="0">
                <a:solidFill>
                  <a:srgbClr val="000000"/>
                </a:solidFill>
                <a:latin typeface="Calibri"/>
                <a:ea typeface="Calibri"/>
                <a:cs typeface="Calibri"/>
              </a:rPr>
              <a:t>annual cost for all clients)</a:t>
            </a:r>
          </a:p>
        </c:rich>
      </c:tx>
      <c:layout/>
      <c:spPr>
        <a:noFill/>
        <a:ln>
          <a:noFill/>
        </a:ln>
      </c:spPr>
    </c:title>
    <c:plotArea>
      <c:layout>
        <c:manualLayout>
          <c:xMode val="edge"/>
          <c:yMode val="edge"/>
          <c:x val="0.023"/>
          <c:y val="0.32175"/>
          <c:w val="0.95125"/>
          <c:h val="0.62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Summary!$C$89:$D$89</c:f>
              <c:strCache>
                <c:ptCount val="2"/>
                <c:pt idx="0">
                  <c:v>Well-managed Intel vPro/ Centrino Pro</c:v>
                </c:pt>
                <c:pt idx="1">
                  <c:v>Server-based computing with thin clients</c:v>
                </c:pt>
              </c:strCache>
            </c:strRef>
          </c:cat>
          <c:val>
            <c:numRef>
              <c:f>Summary!$C$91:$D$91</c:f>
              <c:numCache>
                <c:ptCount val="2"/>
                <c:pt idx="0">
                  <c:v>160068.8</c:v>
                </c:pt>
                <c:pt idx="1">
                  <c:v>160068.8</c:v>
                </c:pt>
              </c:numCache>
            </c:numRef>
          </c:val>
        </c:ser>
        <c:gapWidth val="75"/>
        <c:axId val="7563428"/>
        <c:axId val="961989"/>
      </c:barChart>
      <c:catAx>
        <c:axId val="7563428"/>
        <c:scaling>
          <c:orientation val="minMax"/>
        </c:scaling>
        <c:axPos val="b"/>
        <c:delete val="0"/>
        <c:numFmt formatCode="General" sourceLinked="1"/>
        <c:majorTickMark val="none"/>
        <c:minorTickMark val="none"/>
        <c:tickLblPos val="nextTo"/>
        <c:spPr>
          <a:ln w="3175">
            <a:solidFill>
              <a:srgbClr val="808080"/>
            </a:solidFill>
          </a:ln>
        </c:spPr>
        <c:crossAx val="961989"/>
        <c:crosses val="autoZero"/>
        <c:auto val="1"/>
        <c:lblOffset val="100"/>
        <c:tickLblSkip val="1"/>
        <c:noMultiLvlLbl val="0"/>
      </c:catAx>
      <c:valAx>
        <c:axId val="961989"/>
        <c:scaling>
          <c:orientation val="minMax"/>
          <c:min val="0"/>
        </c:scaling>
        <c:axPos val="l"/>
        <c:delete val="0"/>
        <c:numFmt formatCode="\$#,##0" sourceLinked="0"/>
        <c:majorTickMark val="none"/>
        <c:minorTickMark val="none"/>
        <c:tickLblPos val="nextTo"/>
        <c:spPr>
          <a:ln w="3175">
            <a:solidFill>
              <a:srgbClr val="808080"/>
            </a:solidFill>
          </a:ln>
        </c:spPr>
        <c:crossAx val="7563428"/>
        <c:crossesAt val="1"/>
        <c:crossBetween val="between"/>
        <c:dispUnits/>
      </c:valAx>
      <c:spPr>
        <a:noFill/>
        <a:ln>
          <a:noFill/>
        </a:ln>
      </c:spPr>
    </c:plotArea>
    <c:plotVisOnly val="1"/>
    <c:dispBlanksAs val="gap"/>
    <c:showDLblsOverMax val="0"/>
  </c:chart>
  <c:spPr>
    <a:solidFill>
      <a:srgbClr val="FFFFFF"/>
    </a:solidFill>
    <a:ln w="25400">
      <a:solidFill>
        <a:srgbClr val="000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Move, add, delete
</a:t>
            </a:r>
            <a:r>
              <a:rPr lang="en-US" cap="none" sz="1050" b="1" i="0" u="none" baseline="0">
                <a:solidFill>
                  <a:srgbClr val="000000"/>
                </a:solidFill>
                <a:latin typeface="Calibri"/>
                <a:ea typeface="Calibri"/>
                <a:cs typeface="Calibri"/>
              </a:rPr>
              <a:t>(annual per client cost)</a:t>
            </a:r>
          </a:p>
        </c:rich>
      </c:tx>
      <c:layout/>
      <c:spPr>
        <a:noFill/>
        <a:ln>
          <a:noFill/>
        </a:ln>
      </c:spPr>
    </c:title>
    <c:plotArea>
      <c:layout>
        <c:manualLayout>
          <c:xMode val="edge"/>
          <c:yMode val="edge"/>
          <c:x val="0.0225"/>
          <c:y val="0.32725"/>
          <c:w val="0.952"/>
          <c:h val="0.6157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Summary!$C$114:$D$114</c:f>
              <c:strCache>
                <c:ptCount val="2"/>
                <c:pt idx="0">
                  <c:v>Well-managed Intel vPro/ Centrino Pro</c:v>
                </c:pt>
                <c:pt idx="1">
                  <c:v>Server-based computing with thin clients</c:v>
                </c:pt>
              </c:strCache>
            </c:strRef>
          </c:cat>
          <c:val>
            <c:numRef>
              <c:f>Summary!$C$115:$D$115</c:f>
              <c:numCache>
                <c:ptCount val="2"/>
                <c:pt idx="0">
                  <c:v>79.14999999999999</c:v>
                </c:pt>
                <c:pt idx="1">
                  <c:v>55.18</c:v>
                </c:pt>
              </c:numCache>
            </c:numRef>
          </c:val>
        </c:ser>
        <c:gapWidth val="75"/>
        <c:axId val="8657902"/>
        <c:axId val="10812255"/>
      </c:barChart>
      <c:catAx>
        <c:axId val="8657902"/>
        <c:scaling>
          <c:orientation val="minMax"/>
        </c:scaling>
        <c:axPos val="b"/>
        <c:delete val="0"/>
        <c:numFmt formatCode="General" sourceLinked="1"/>
        <c:majorTickMark val="none"/>
        <c:minorTickMark val="none"/>
        <c:tickLblPos val="nextTo"/>
        <c:spPr>
          <a:ln w="3175">
            <a:solidFill>
              <a:srgbClr val="808080"/>
            </a:solidFill>
          </a:ln>
        </c:spPr>
        <c:crossAx val="10812255"/>
        <c:crosses val="autoZero"/>
        <c:auto val="1"/>
        <c:lblOffset val="100"/>
        <c:tickLblSkip val="1"/>
        <c:noMultiLvlLbl val="0"/>
      </c:catAx>
      <c:valAx>
        <c:axId val="10812255"/>
        <c:scaling>
          <c:orientation val="minMax"/>
          <c:min val="0"/>
        </c:scaling>
        <c:axPos val="l"/>
        <c:delete val="0"/>
        <c:numFmt formatCode="\$#,##0" sourceLinked="0"/>
        <c:majorTickMark val="none"/>
        <c:minorTickMark val="none"/>
        <c:tickLblPos val="nextTo"/>
        <c:spPr>
          <a:ln w="3175">
            <a:solidFill>
              <a:srgbClr val="808080"/>
            </a:solidFill>
          </a:ln>
        </c:spPr>
        <c:crossAx val="8657902"/>
        <c:crossesAt val="1"/>
        <c:crossBetween val="between"/>
        <c:dispUnits/>
      </c:valAx>
      <c:spPr>
        <a:noFill/>
        <a:ln>
          <a:noFill/>
        </a:ln>
      </c:spPr>
    </c:plotArea>
    <c:plotVisOnly val="1"/>
    <c:dispBlanksAs val="gap"/>
    <c:showDLblsOverMax val="0"/>
  </c:chart>
  <c:spPr>
    <a:solidFill>
      <a:srgbClr val="FFFFFF"/>
    </a:solidFill>
    <a:ln w="25400">
      <a:solidFill>
        <a:srgbClr val="000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Move, add, delete
</a:t>
            </a:r>
            <a:r>
              <a:rPr lang="en-US" cap="none" sz="1050" b="1" i="0" u="none" baseline="0">
                <a:solidFill>
                  <a:srgbClr val="000000"/>
                </a:solidFill>
                <a:latin typeface="Calibri"/>
                <a:ea typeface="Calibri"/>
                <a:cs typeface="Calibri"/>
              </a:rPr>
              <a:t>(annual cost for all clients)</a:t>
            </a:r>
          </a:p>
        </c:rich>
      </c:tx>
      <c:layout/>
      <c:spPr>
        <a:noFill/>
        <a:ln>
          <a:noFill/>
        </a:ln>
      </c:spPr>
    </c:title>
    <c:plotArea>
      <c:layout>
        <c:manualLayout>
          <c:xMode val="edge"/>
          <c:yMode val="edge"/>
          <c:x val="0.02275"/>
          <c:y val="0.32725"/>
          <c:w val="0.95175"/>
          <c:h val="0.6157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Summary!$C$114:$D$114</c:f>
              <c:strCache>
                <c:ptCount val="2"/>
                <c:pt idx="0">
                  <c:v>Well-managed Intel vPro/ Centrino Pro</c:v>
                </c:pt>
                <c:pt idx="1">
                  <c:v>Server-based computing with thin clients</c:v>
                </c:pt>
              </c:strCache>
            </c:strRef>
          </c:cat>
          <c:val>
            <c:numRef>
              <c:f>Summary!$C$116:$D$116</c:f>
              <c:numCache>
                <c:ptCount val="2"/>
                <c:pt idx="0">
                  <c:v>633244.96</c:v>
                </c:pt>
                <c:pt idx="1">
                  <c:v>441431.36</c:v>
                </c:pt>
              </c:numCache>
            </c:numRef>
          </c:val>
        </c:ser>
        <c:gapWidth val="75"/>
        <c:axId val="30201432"/>
        <c:axId val="3377433"/>
      </c:barChart>
      <c:catAx>
        <c:axId val="30201432"/>
        <c:scaling>
          <c:orientation val="minMax"/>
        </c:scaling>
        <c:axPos val="b"/>
        <c:delete val="0"/>
        <c:numFmt formatCode="General" sourceLinked="1"/>
        <c:majorTickMark val="none"/>
        <c:minorTickMark val="none"/>
        <c:tickLblPos val="nextTo"/>
        <c:spPr>
          <a:ln w="3175">
            <a:solidFill>
              <a:srgbClr val="808080"/>
            </a:solidFill>
          </a:ln>
        </c:spPr>
        <c:crossAx val="3377433"/>
        <c:crosses val="autoZero"/>
        <c:auto val="1"/>
        <c:lblOffset val="100"/>
        <c:tickLblSkip val="1"/>
        <c:noMultiLvlLbl val="0"/>
      </c:catAx>
      <c:valAx>
        <c:axId val="3377433"/>
        <c:scaling>
          <c:orientation val="minMax"/>
          <c:min val="0"/>
        </c:scaling>
        <c:axPos val="l"/>
        <c:delete val="0"/>
        <c:numFmt formatCode="\$#,##0" sourceLinked="0"/>
        <c:majorTickMark val="none"/>
        <c:minorTickMark val="none"/>
        <c:tickLblPos val="nextTo"/>
        <c:spPr>
          <a:ln w="3175">
            <a:solidFill>
              <a:srgbClr val="808080"/>
            </a:solidFill>
          </a:ln>
        </c:spPr>
        <c:crossAx val="30201432"/>
        <c:crossesAt val="1"/>
        <c:crossBetween val="between"/>
        <c:dispUnits/>
      </c:valAx>
      <c:spPr>
        <a:noFill/>
        <a:ln>
          <a:noFill/>
        </a:ln>
      </c:spPr>
    </c:plotArea>
    <c:plotVisOnly val="1"/>
    <c:dispBlanksAs val="gap"/>
    <c:showDLblsOverMax val="0"/>
  </c:chart>
  <c:spPr>
    <a:solidFill>
      <a:srgbClr val="FFFFFF"/>
    </a:solidFill>
    <a:ln w="25400">
      <a:solidFill>
        <a:srgbClr val="000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Compliance
</a:t>
            </a:r>
            <a:r>
              <a:rPr lang="en-US" cap="none" sz="1050" b="1" i="0" u="none" baseline="0">
                <a:solidFill>
                  <a:srgbClr val="000000"/>
                </a:solidFill>
                <a:latin typeface="Calibri"/>
                <a:ea typeface="Calibri"/>
                <a:cs typeface="Calibri"/>
              </a:rPr>
              <a:t>(annual per client cost)</a:t>
            </a:r>
          </a:p>
        </c:rich>
      </c:tx>
      <c:layout/>
      <c:spPr>
        <a:noFill/>
        <a:ln>
          <a:noFill/>
        </a:ln>
      </c:spPr>
    </c:title>
    <c:plotArea>
      <c:layout>
        <c:manualLayout>
          <c:xMode val="edge"/>
          <c:yMode val="edge"/>
          <c:x val="0.0225"/>
          <c:y val="0.32075"/>
          <c:w val="0.95225"/>
          <c:h val="0.623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Summary!$C$140:$D$140</c:f>
              <c:strCache>
                <c:ptCount val="2"/>
                <c:pt idx="0">
                  <c:v>Well-managed Intel vPro/ Centrino Pro</c:v>
                </c:pt>
                <c:pt idx="1">
                  <c:v>Server-based computing with thin clients</c:v>
                </c:pt>
              </c:strCache>
            </c:strRef>
          </c:cat>
          <c:val>
            <c:numRef>
              <c:f>Summary!$C$141:$D$141</c:f>
              <c:numCache>
                <c:ptCount val="2"/>
                <c:pt idx="0">
                  <c:v>12.97</c:v>
                </c:pt>
                <c:pt idx="1">
                  <c:v>10.63</c:v>
                </c:pt>
              </c:numCache>
            </c:numRef>
          </c:val>
        </c:ser>
        <c:gapWidth val="75"/>
        <c:axId val="30396898"/>
        <c:axId val="5136627"/>
      </c:barChart>
      <c:catAx>
        <c:axId val="30396898"/>
        <c:scaling>
          <c:orientation val="minMax"/>
        </c:scaling>
        <c:axPos val="b"/>
        <c:delete val="0"/>
        <c:numFmt formatCode="General" sourceLinked="1"/>
        <c:majorTickMark val="none"/>
        <c:minorTickMark val="none"/>
        <c:tickLblPos val="nextTo"/>
        <c:spPr>
          <a:ln w="3175">
            <a:solidFill>
              <a:srgbClr val="808080"/>
            </a:solidFill>
          </a:ln>
        </c:spPr>
        <c:crossAx val="5136627"/>
        <c:crosses val="autoZero"/>
        <c:auto val="1"/>
        <c:lblOffset val="100"/>
        <c:tickLblSkip val="1"/>
        <c:noMultiLvlLbl val="0"/>
      </c:catAx>
      <c:valAx>
        <c:axId val="5136627"/>
        <c:scaling>
          <c:orientation val="minMax"/>
          <c:min val="0"/>
        </c:scaling>
        <c:axPos val="l"/>
        <c:delete val="0"/>
        <c:numFmt formatCode="\$#,##0" sourceLinked="0"/>
        <c:majorTickMark val="none"/>
        <c:minorTickMark val="none"/>
        <c:tickLblPos val="nextTo"/>
        <c:spPr>
          <a:ln w="3175">
            <a:solidFill>
              <a:srgbClr val="808080"/>
            </a:solidFill>
          </a:ln>
        </c:spPr>
        <c:crossAx val="30396898"/>
        <c:crossesAt val="1"/>
        <c:crossBetween val="between"/>
        <c:dispUnits/>
      </c:valAx>
      <c:spPr>
        <a:noFill/>
        <a:ln>
          <a:noFill/>
        </a:ln>
      </c:spPr>
    </c:plotArea>
    <c:plotVisOnly val="1"/>
    <c:dispBlanksAs val="gap"/>
    <c:showDLblsOverMax val="0"/>
  </c:chart>
  <c:spPr>
    <a:solidFill>
      <a:srgbClr val="FFFFFF"/>
    </a:solidFill>
    <a:ln w="25400">
      <a:solidFill>
        <a:srgbClr val="000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 Id="rId6" Type="http://schemas.openxmlformats.org/officeDocument/2006/relationships/chart" Target="/xl/charts/chart7.xml" /><Relationship Id="rId7" Type="http://schemas.openxmlformats.org/officeDocument/2006/relationships/chart" Target="/xl/charts/chart8.xml" /><Relationship Id="rId8" Type="http://schemas.openxmlformats.org/officeDocument/2006/relationships/chart" Target="/xl/charts/chart9.xml" /><Relationship Id="rId9" Type="http://schemas.openxmlformats.org/officeDocument/2006/relationships/chart" Target="/xl/charts/chart10.xml" /><Relationship Id="rId10" Type="http://schemas.openxmlformats.org/officeDocument/2006/relationships/chart" Target="/xl/charts/chart11.xml" /><Relationship Id="rId11" Type="http://schemas.openxmlformats.org/officeDocument/2006/relationships/chart" Target="/xl/charts/chart12.xml" /><Relationship Id="rId12" Type="http://schemas.openxmlformats.org/officeDocument/2006/relationships/chart" Target="/xl/charts/chart13.xml" /><Relationship Id="rId13" Type="http://schemas.openxmlformats.org/officeDocument/2006/relationships/image" Target="../media/image1.png" /><Relationship Id="rId14" Type="http://schemas.openxmlformats.org/officeDocument/2006/relationships/chart" Target="/xl/charts/chart14.xml" /><Relationship Id="rId15" Type="http://schemas.openxmlformats.org/officeDocument/2006/relationships/chart" Target="/xl/charts/chart1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38100</xdr:rowOff>
    </xdr:from>
    <xdr:to>
      <xdr:col>4</xdr:col>
      <xdr:colOff>219075</xdr:colOff>
      <xdr:row>11</xdr:row>
      <xdr:rowOff>47625</xdr:rowOff>
    </xdr:to>
    <xdr:graphicFrame>
      <xdr:nvGraphicFramePr>
        <xdr:cNvPr id="1" name="Patchingcost"/>
        <xdr:cNvGraphicFramePr/>
      </xdr:nvGraphicFramePr>
      <xdr:xfrm>
        <a:off x="114300" y="990600"/>
        <a:ext cx="4067175" cy="18954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0</xdr:row>
      <xdr:rowOff>57150</xdr:rowOff>
    </xdr:from>
    <xdr:to>
      <xdr:col>1</xdr:col>
      <xdr:colOff>619125</xdr:colOff>
      <xdr:row>0</xdr:row>
      <xdr:rowOff>695325</xdr:rowOff>
    </xdr:to>
    <xdr:pic>
      <xdr:nvPicPr>
        <xdr:cNvPr id="2" name="Picture 26" descr="PT Logo"/>
        <xdr:cNvPicPr preferRelativeResize="1">
          <a:picLocks noChangeAspect="1"/>
        </xdr:cNvPicPr>
      </xdr:nvPicPr>
      <xdr:blipFill>
        <a:blip r:embed="rId2"/>
        <a:stretch>
          <a:fillRect/>
        </a:stretch>
      </xdr:blipFill>
      <xdr:spPr>
        <a:xfrm>
          <a:off x="114300" y="57150"/>
          <a:ext cx="619125" cy="638175"/>
        </a:xfrm>
        <a:prstGeom prst="rect">
          <a:avLst/>
        </a:prstGeom>
        <a:noFill/>
        <a:ln w="9525" cmpd="sng">
          <a:noFill/>
        </a:ln>
      </xdr:spPr>
    </xdr:pic>
    <xdr:clientData/>
  </xdr:twoCellAnchor>
  <xdr:twoCellAnchor>
    <xdr:from>
      <xdr:col>1</xdr:col>
      <xdr:colOff>781050</xdr:colOff>
      <xdr:row>0</xdr:row>
      <xdr:rowOff>66675</xdr:rowOff>
    </xdr:from>
    <xdr:to>
      <xdr:col>4</xdr:col>
      <xdr:colOff>295275</xdr:colOff>
      <xdr:row>0</xdr:row>
      <xdr:rowOff>685800</xdr:rowOff>
    </xdr:to>
    <xdr:sp>
      <xdr:nvSpPr>
        <xdr:cNvPr id="3" name="Text Box 28"/>
        <xdr:cNvSpPr txBox="1">
          <a:spLocks noChangeArrowheads="1"/>
        </xdr:cNvSpPr>
      </xdr:nvSpPr>
      <xdr:spPr>
        <a:xfrm>
          <a:off x="895350" y="66675"/>
          <a:ext cx="3362325" cy="619125"/>
        </a:xfrm>
        <a:prstGeom prst="rect">
          <a:avLst/>
        </a:prstGeom>
        <a:solidFill>
          <a:srgbClr val="FFFFFF"/>
        </a:solidFill>
        <a:ln w="9525" cmpd="sng">
          <a:solidFill>
            <a:srgbClr val="4F81BD"/>
          </a:solidFill>
          <a:headEnd type="none"/>
          <a:tailEnd type="none"/>
        </a:ln>
      </xdr:spPr>
      <xdr:txBody>
        <a:bodyPr vertOverflow="clip" wrap="square" lIns="36576" tIns="32004" rIns="0" bIns="0"/>
        <a:p>
          <a:pPr algn="l">
            <a:defRPr/>
          </a:pPr>
          <a:r>
            <a:rPr lang="en-US" cap="none" sz="1600" b="0" i="0" u="none" baseline="0">
              <a:solidFill>
                <a:srgbClr val="000000"/>
              </a:solidFill>
              <a:latin typeface="Arial"/>
              <a:ea typeface="Arial"/>
              <a:cs typeface="Arial"/>
            </a:rPr>
            <a:t>Principled Technologies</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Manageability</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calculator
</a:t>
          </a:r>
          <a:r>
            <a:rPr lang="en-US" cap="none" sz="1200" b="1" i="0" u="none" baseline="0">
              <a:solidFill>
                <a:srgbClr val="000000"/>
              </a:solidFill>
              <a:latin typeface="Arial"/>
              <a:ea typeface="Arial"/>
              <a:cs typeface="Arial"/>
            </a:rPr>
            <a:t>
</a:t>
          </a:r>
        </a:p>
      </xdr:txBody>
    </xdr:sp>
    <xdr:clientData/>
  </xdr:twoCellAnchor>
  <xdr:twoCellAnchor>
    <xdr:from>
      <xdr:col>5</xdr:col>
      <xdr:colOff>9525</xdr:colOff>
      <xdr:row>3</xdr:row>
      <xdr:rowOff>95250</xdr:rowOff>
    </xdr:from>
    <xdr:to>
      <xdr:col>6</xdr:col>
      <xdr:colOff>914400</xdr:colOff>
      <xdr:row>7</xdr:row>
      <xdr:rowOff>152400</xdr:rowOff>
    </xdr:to>
    <xdr:sp>
      <xdr:nvSpPr>
        <xdr:cNvPr id="4" name="TextBox 8"/>
        <xdr:cNvSpPr txBox="1">
          <a:spLocks noChangeArrowheads="1"/>
        </xdr:cNvSpPr>
      </xdr:nvSpPr>
      <xdr:spPr>
        <a:xfrm>
          <a:off x="4267200" y="1257300"/>
          <a:ext cx="4457700" cy="8953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This calculator compares the costs of managing two different client computing models. It focuses on six cost categories: patching, help desk and  support, inventory, move/add/delete (MAD), compliance, and security.</a:t>
          </a:r>
        </a:p>
      </xdr:txBody>
    </xdr:sp>
    <xdr:clientData/>
  </xdr:twoCellAnchor>
  <xdr:twoCellAnchor>
    <xdr:from>
      <xdr:col>1</xdr:col>
      <xdr:colOff>9525</xdr:colOff>
      <xdr:row>11</xdr:row>
      <xdr:rowOff>123825</xdr:rowOff>
    </xdr:from>
    <xdr:to>
      <xdr:col>4</xdr:col>
      <xdr:colOff>200025</xdr:colOff>
      <xdr:row>16</xdr:row>
      <xdr:rowOff>152400</xdr:rowOff>
    </xdr:to>
    <xdr:sp>
      <xdr:nvSpPr>
        <xdr:cNvPr id="5" name="TextBox 9"/>
        <xdr:cNvSpPr txBox="1">
          <a:spLocks noChangeArrowheads="1"/>
        </xdr:cNvSpPr>
      </xdr:nvSpPr>
      <xdr:spPr>
        <a:xfrm>
          <a:off x="123825" y="2962275"/>
          <a:ext cx="4038600" cy="10763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These results reflect the number of</a:t>
          </a:r>
          <a:r>
            <a:rPr lang="en-US" cap="none" sz="1100" b="0" i="0" u="none" baseline="0">
              <a:solidFill>
                <a:srgbClr val="000000"/>
              </a:solidFill>
              <a:latin typeface="Calibri"/>
              <a:ea typeface="Calibri"/>
              <a:cs typeface="Calibri"/>
            </a:rPr>
            <a:t> client systems </a:t>
          </a:r>
          <a:r>
            <a:rPr lang="en-US" cap="none" sz="1100" b="0" i="0" u="none" baseline="0">
              <a:solidFill>
                <a:srgbClr val="000000"/>
              </a:solidFill>
              <a:latin typeface="Calibri"/>
              <a:ea typeface="Calibri"/>
              <a:cs typeface="Calibri"/>
            </a:rPr>
            <a:t>as well as a high number of variables on subsequent tabs.  To get a rough idea of costs for your enterprise,  adjust the number</a:t>
          </a:r>
          <a:r>
            <a:rPr lang="en-US" cap="none" sz="1100" b="0" i="0" u="none" baseline="0">
              <a:solidFill>
                <a:srgbClr val="000000"/>
              </a:solidFill>
              <a:latin typeface="Calibri"/>
              <a:ea typeface="Calibri"/>
              <a:cs typeface="Calibri"/>
            </a:rPr>
            <a:t> of client systems in</a:t>
          </a:r>
          <a:r>
            <a:rPr lang="en-US" cap="none" sz="1100" b="0" i="0" u="none" baseline="0">
              <a:solidFill>
                <a:srgbClr val="000000"/>
              </a:solidFill>
              <a:latin typeface="Calibri"/>
              <a:ea typeface="Calibri"/>
              <a:cs typeface="Calibri"/>
            </a:rPr>
            <a:t> the orange cell below. To fine tune your results and view results in greater detail, follow the links to the right.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37</xdr:row>
      <xdr:rowOff>19050</xdr:rowOff>
    </xdr:from>
    <xdr:to>
      <xdr:col>3</xdr:col>
      <xdr:colOff>1104900</xdr:colOff>
      <xdr:row>46</xdr:row>
      <xdr:rowOff>171450</xdr:rowOff>
    </xdr:to>
    <xdr:graphicFrame>
      <xdr:nvGraphicFramePr>
        <xdr:cNvPr id="1" name="Patchingcost"/>
        <xdr:cNvGraphicFramePr/>
      </xdr:nvGraphicFramePr>
      <xdr:xfrm>
        <a:off x="133350" y="8134350"/>
        <a:ext cx="4124325" cy="1866900"/>
      </xdr:xfrm>
      <a:graphic>
        <a:graphicData uri="http://schemas.openxmlformats.org/drawingml/2006/chart">
          <c:chart xmlns:c="http://schemas.openxmlformats.org/drawingml/2006/chart" r:id="rId1"/>
        </a:graphicData>
      </a:graphic>
    </xdr:graphicFrame>
    <xdr:clientData/>
  </xdr:twoCellAnchor>
  <xdr:twoCellAnchor>
    <xdr:from>
      <xdr:col>1</xdr:col>
      <xdr:colOff>95250</xdr:colOff>
      <xdr:row>66</xdr:row>
      <xdr:rowOff>0</xdr:rowOff>
    </xdr:from>
    <xdr:to>
      <xdr:col>3</xdr:col>
      <xdr:colOff>1104900</xdr:colOff>
      <xdr:row>76</xdr:row>
      <xdr:rowOff>0</xdr:rowOff>
    </xdr:to>
    <xdr:graphicFrame>
      <xdr:nvGraphicFramePr>
        <xdr:cNvPr id="2" name="Patchingcost"/>
        <xdr:cNvGraphicFramePr/>
      </xdr:nvGraphicFramePr>
      <xdr:xfrm>
        <a:off x="209550" y="15268575"/>
        <a:ext cx="4048125" cy="1905000"/>
      </xdr:xfrm>
      <a:graphic>
        <a:graphicData uri="http://schemas.openxmlformats.org/drawingml/2006/chart">
          <c:chart xmlns:c="http://schemas.openxmlformats.org/drawingml/2006/chart" r:id="rId2"/>
        </a:graphicData>
      </a:graphic>
    </xdr:graphicFrame>
    <xdr:clientData/>
  </xdr:twoCellAnchor>
  <xdr:twoCellAnchor>
    <xdr:from>
      <xdr:col>5</xdr:col>
      <xdr:colOff>19050</xdr:colOff>
      <xdr:row>37</xdr:row>
      <xdr:rowOff>9525</xdr:rowOff>
    </xdr:from>
    <xdr:to>
      <xdr:col>7</xdr:col>
      <xdr:colOff>1085850</xdr:colOff>
      <xdr:row>46</xdr:row>
      <xdr:rowOff>180975</xdr:rowOff>
    </xdr:to>
    <xdr:graphicFrame>
      <xdr:nvGraphicFramePr>
        <xdr:cNvPr id="3" name="Patchingcost"/>
        <xdr:cNvGraphicFramePr/>
      </xdr:nvGraphicFramePr>
      <xdr:xfrm>
        <a:off x="4343400" y="8124825"/>
        <a:ext cx="4086225" cy="1885950"/>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92</xdr:row>
      <xdr:rowOff>0</xdr:rowOff>
    </xdr:from>
    <xdr:to>
      <xdr:col>3</xdr:col>
      <xdr:colOff>1114425</xdr:colOff>
      <xdr:row>102</xdr:row>
      <xdr:rowOff>0</xdr:rowOff>
    </xdr:to>
    <xdr:graphicFrame>
      <xdr:nvGraphicFramePr>
        <xdr:cNvPr id="4" name="Patchingcost"/>
        <xdr:cNvGraphicFramePr/>
      </xdr:nvGraphicFramePr>
      <xdr:xfrm>
        <a:off x="123825" y="21850350"/>
        <a:ext cx="4143375" cy="1905000"/>
      </xdr:xfrm>
      <a:graphic>
        <a:graphicData uri="http://schemas.openxmlformats.org/drawingml/2006/chart">
          <c:chart xmlns:c="http://schemas.openxmlformats.org/drawingml/2006/chart" r:id="rId4"/>
        </a:graphicData>
      </a:graphic>
    </xdr:graphicFrame>
    <xdr:clientData/>
  </xdr:twoCellAnchor>
  <xdr:twoCellAnchor>
    <xdr:from>
      <xdr:col>5</xdr:col>
      <xdr:colOff>28575</xdr:colOff>
      <xdr:row>92</xdr:row>
      <xdr:rowOff>0</xdr:rowOff>
    </xdr:from>
    <xdr:to>
      <xdr:col>7</xdr:col>
      <xdr:colOff>1085850</xdr:colOff>
      <xdr:row>102</xdr:row>
      <xdr:rowOff>0</xdr:rowOff>
    </xdr:to>
    <xdr:graphicFrame>
      <xdr:nvGraphicFramePr>
        <xdr:cNvPr id="5" name="Patchingcost"/>
        <xdr:cNvGraphicFramePr/>
      </xdr:nvGraphicFramePr>
      <xdr:xfrm>
        <a:off x="4352925" y="21850350"/>
        <a:ext cx="4076700" cy="1905000"/>
      </xdr:xfrm>
      <a:graphic>
        <a:graphicData uri="http://schemas.openxmlformats.org/drawingml/2006/chart">
          <c:chart xmlns:c="http://schemas.openxmlformats.org/drawingml/2006/chart" r:id="rId5"/>
        </a:graphicData>
      </a:graphic>
    </xdr:graphicFrame>
    <xdr:clientData/>
  </xdr:twoCellAnchor>
  <xdr:twoCellAnchor>
    <xdr:from>
      <xdr:col>1</xdr:col>
      <xdr:colOff>9525</xdr:colOff>
      <xdr:row>118</xdr:row>
      <xdr:rowOff>19050</xdr:rowOff>
    </xdr:from>
    <xdr:to>
      <xdr:col>3</xdr:col>
      <xdr:colOff>1104900</xdr:colOff>
      <xdr:row>127</xdr:row>
      <xdr:rowOff>180975</xdr:rowOff>
    </xdr:to>
    <xdr:graphicFrame>
      <xdr:nvGraphicFramePr>
        <xdr:cNvPr id="6" name="Patchingcost"/>
        <xdr:cNvGraphicFramePr/>
      </xdr:nvGraphicFramePr>
      <xdr:xfrm>
        <a:off x="123825" y="27870150"/>
        <a:ext cx="4133850" cy="1876425"/>
      </xdr:xfrm>
      <a:graphic>
        <a:graphicData uri="http://schemas.openxmlformats.org/drawingml/2006/chart">
          <c:chart xmlns:c="http://schemas.openxmlformats.org/drawingml/2006/chart" r:id="rId6"/>
        </a:graphicData>
      </a:graphic>
    </xdr:graphicFrame>
    <xdr:clientData/>
  </xdr:twoCellAnchor>
  <xdr:twoCellAnchor>
    <xdr:from>
      <xdr:col>5</xdr:col>
      <xdr:colOff>19050</xdr:colOff>
      <xdr:row>118</xdr:row>
      <xdr:rowOff>19050</xdr:rowOff>
    </xdr:from>
    <xdr:to>
      <xdr:col>7</xdr:col>
      <xdr:colOff>1104900</xdr:colOff>
      <xdr:row>127</xdr:row>
      <xdr:rowOff>180975</xdr:rowOff>
    </xdr:to>
    <xdr:graphicFrame>
      <xdr:nvGraphicFramePr>
        <xdr:cNvPr id="7" name="Patchingcost"/>
        <xdr:cNvGraphicFramePr/>
      </xdr:nvGraphicFramePr>
      <xdr:xfrm>
        <a:off x="4343400" y="27870150"/>
        <a:ext cx="4105275" cy="1876425"/>
      </xdr:xfrm>
      <a:graphic>
        <a:graphicData uri="http://schemas.openxmlformats.org/drawingml/2006/chart">
          <c:chart xmlns:c="http://schemas.openxmlformats.org/drawingml/2006/chart" r:id="rId7"/>
        </a:graphicData>
      </a:graphic>
    </xdr:graphicFrame>
    <xdr:clientData/>
  </xdr:twoCellAnchor>
  <xdr:twoCellAnchor>
    <xdr:from>
      <xdr:col>1</xdr:col>
      <xdr:colOff>19050</xdr:colOff>
      <xdr:row>145</xdr:row>
      <xdr:rowOff>9525</xdr:rowOff>
    </xdr:from>
    <xdr:to>
      <xdr:col>4</xdr:col>
      <xdr:colOff>9525</xdr:colOff>
      <xdr:row>155</xdr:row>
      <xdr:rowOff>19050</xdr:rowOff>
    </xdr:to>
    <xdr:graphicFrame>
      <xdr:nvGraphicFramePr>
        <xdr:cNvPr id="8" name="Patchingcost"/>
        <xdr:cNvGraphicFramePr/>
      </xdr:nvGraphicFramePr>
      <xdr:xfrm>
        <a:off x="133350" y="33899475"/>
        <a:ext cx="4143375" cy="1914525"/>
      </xdr:xfrm>
      <a:graphic>
        <a:graphicData uri="http://schemas.openxmlformats.org/drawingml/2006/chart">
          <c:chart xmlns:c="http://schemas.openxmlformats.org/drawingml/2006/chart" r:id="rId8"/>
        </a:graphicData>
      </a:graphic>
    </xdr:graphicFrame>
    <xdr:clientData/>
  </xdr:twoCellAnchor>
  <xdr:twoCellAnchor>
    <xdr:from>
      <xdr:col>5</xdr:col>
      <xdr:colOff>19050</xdr:colOff>
      <xdr:row>145</xdr:row>
      <xdr:rowOff>9525</xdr:rowOff>
    </xdr:from>
    <xdr:to>
      <xdr:col>7</xdr:col>
      <xdr:colOff>1095375</xdr:colOff>
      <xdr:row>155</xdr:row>
      <xdr:rowOff>28575</xdr:rowOff>
    </xdr:to>
    <xdr:graphicFrame>
      <xdr:nvGraphicFramePr>
        <xdr:cNvPr id="9" name="Patchingcost"/>
        <xdr:cNvGraphicFramePr/>
      </xdr:nvGraphicFramePr>
      <xdr:xfrm>
        <a:off x="4343400" y="33899475"/>
        <a:ext cx="4095750" cy="1924050"/>
      </xdr:xfrm>
      <a:graphic>
        <a:graphicData uri="http://schemas.openxmlformats.org/drawingml/2006/chart">
          <c:chart xmlns:c="http://schemas.openxmlformats.org/drawingml/2006/chart" r:id="rId9"/>
        </a:graphicData>
      </a:graphic>
    </xdr:graphicFrame>
    <xdr:clientData/>
  </xdr:twoCellAnchor>
  <xdr:twoCellAnchor>
    <xdr:from>
      <xdr:col>1</xdr:col>
      <xdr:colOff>66675</xdr:colOff>
      <xdr:row>174</xdr:row>
      <xdr:rowOff>9525</xdr:rowOff>
    </xdr:from>
    <xdr:to>
      <xdr:col>4</xdr:col>
      <xdr:colOff>0</xdr:colOff>
      <xdr:row>183</xdr:row>
      <xdr:rowOff>171450</xdr:rowOff>
    </xdr:to>
    <xdr:graphicFrame>
      <xdr:nvGraphicFramePr>
        <xdr:cNvPr id="10" name="Patchingcost"/>
        <xdr:cNvGraphicFramePr/>
      </xdr:nvGraphicFramePr>
      <xdr:xfrm>
        <a:off x="180975" y="40681275"/>
        <a:ext cx="4086225" cy="1876425"/>
      </xdr:xfrm>
      <a:graphic>
        <a:graphicData uri="http://schemas.openxmlformats.org/drawingml/2006/chart">
          <c:chart xmlns:c="http://schemas.openxmlformats.org/drawingml/2006/chart" r:id="rId10"/>
        </a:graphicData>
      </a:graphic>
    </xdr:graphicFrame>
    <xdr:clientData/>
  </xdr:twoCellAnchor>
  <xdr:twoCellAnchor>
    <xdr:from>
      <xdr:col>5</xdr:col>
      <xdr:colOff>19050</xdr:colOff>
      <xdr:row>174</xdr:row>
      <xdr:rowOff>19050</xdr:rowOff>
    </xdr:from>
    <xdr:to>
      <xdr:col>7</xdr:col>
      <xdr:colOff>1104900</xdr:colOff>
      <xdr:row>183</xdr:row>
      <xdr:rowOff>171450</xdr:rowOff>
    </xdr:to>
    <xdr:graphicFrame>
      <xdr:nvGraphicFramePr>
        <xdr:cNvPr id="11" name="Patchingcost"/>
        <xdr:cNvGraphicFramePr/>
      </xdr:nvGraphicFramePr>
      <xdr:xfrm>
        <a:off x="4343400" y="40690800"/>
        <a:ext cx="4105275" cy="1866900"/>
      </xdr:xfrm>
      <a:graphic>
        <a:graphicData uri="http://schemas.openxmlformats.org/drawingml/2006/chart">
          <c:chart xmlns:c="http://schemas.openxmlformats.org/drawingml/2006/chart" r:id="rId11"/>
        </a:graphicData>
      </a:graphic>
    </xdr:graphicFrame>
    <xdr:clientData/>
  </xdr:twoCellAnchor>
  <xdr:twoCellAnchor>
    <xdr:from>
      <xdr:col>5</xdr:col>
      <xdr:colOff>9525</xdr:colOff>
      <xdr:row>66</xdr:row>
      <xdr:rowOff>9525</xdr:rowOff>
    </xdr:from>
    <xdr:to>
      <xdr:col>7</xdr:col>
      <xdr:colOff>1076325</xdr:colOff>
      <xdr:row>75</xdr:row>
      <xdr:rowOff>180975</xdr:rowOff>
    </xdr:to>
    <xdr:graphicFrame>
      <xdr:nvGraphicFramePr>
        <xdr:cNvPr id="12" name="Patchingcost"/>
        <xdr:cNvGraphicFramePr/>
      </xdr:nvGraphicFramePr>
      <xdr:xfrm>
        <a:off x="4333875" y="15278100"/>
        <a:ext cx="4086225" cy="1885950"/>
      </xdr:xfrm>
      <a:graphic>
        <a:graphicData uri="http://schemas.openxmlformats.org/drawingml/2006/chart">
          <c:chart xmlns:c="http://schemas.openxmlformats.org/drawingml/2006/chart" r:id="rId12"/>
        </a:graphicData>
      </a:graphic>
    </xdr:graphicFrame>
    <xdr:clientData/>
  </xdr:twoCellAnchor>
  <xdr:twoCellAnchor>
    <xdr:from>
      <xdr:col>5</xdr:col>
      <xdr:colOff>9525</xdr:colOff>
      <xdr:row>31</xdr:row>
      <xdr:rowOff>9525</xdr:rowOff>
    </xdr:from>
    <xdr:to>
      <xdr:col>7</xdr:col>
      <xdr:colOff>1104900</xdr:colOff>
      <xdr:row>36</xdr:row>
      <xdr:rowOff>133350</xdr:rowOff>
    </xdr:to>
    <xdr:sp>
      <xdr:nvSpPr>
        <xdr:cNvPr id="13" name="TextBox 30"/>
        <xdr:cNvSpPr txBox="1">
          <a:spLocks noChangeArrowheads="1"/>
        </xdr:cNvSpPr>
      </xdr:nvSpPr>
      <xdr:spPr>
        <a:xfrm>
          <a:off x="4333875" y="6715125"/>
          <a:ext cx="4114800" cy="1362075"/>
        </a:xfrm>
        <a:prstGeom prst="rect">
          <a:avLst/>
        </a:prstGeom>
        <a:solidFill>
          <a:srgbClr val="F2F2F2"/>
        </a:solidFill>
        <a:ln w="0" cmpd="sng">
          <a:solidFill>
            <a:srgbClr val="DCE6F2"/>
          </a:solidFill>
          <a:headEnd type="none"/>
          <a:tailEnd type="none"/>
        </a:ln>
      </xdr:spPr>
      <xdr:txBody>
        <a:bodyPr vertOverflow="clip" wrap="square" lIns="91440" tIns="45720" rIns="91440" bIns="45720"/>
        <a:p>
          <a:pPr algn="l">
            <a:defRPr/>
          </a:pPr>
          <a:r>
            <a:rPr lang="en-US" cap="none" sz="800" b="0" i="0" u="none" baseline="0">
              <a:solidFill>
                <a:srgbClr val="003366"/>
              </a:solidFill>
              <a:latin typeface="Calibri"/>
              <a:ea typeface="Calibri"/>
              <a:cs typeface="Calibri"/>
            </a:rPr>
            <a:t>The model includes costs for the following patching steps:
Patch preparation and testing
Remote batch patch install
Automatic remote check of patch status each time a client connects
Hands-on end-user manual patch and update install 
Desk-side patching visit by IT staff to remediate patching failures
Model assumptions include the following:
IT bundles patches and updates and distributes them regularly. 
Some critical patches require separate distribution.  </a:t>
          </a:r>
        </a:p>
      </xdr:txBody>
    </xdr:sp>
    <xdr:clientData/>
  </xdr:twoCellAnchor>
  <xdr:twoCellAnchor>
    <xdr:from>
      <xdr:col>5</xdr:col>
      <xdr:colOff>0</xdr:colOff>
      <xdr:row>61</xdr:row>
      <xdr:rowOff>9525</xdr:rowOff>
    </xdr:from>
    <xdr:to>
      <xdr:col>8</xdr:col>
      <xdr:colOff>0</xdr:colOff>
      <xdr:row>65</xdr:row>
      <xdr:rowOff>66675</xdr:rowOff>
    </xdr:to>
    <xdr:sp>
      <xdr:nvSpPr>
        <xdr:cNvPr id="14" name="TextBox 31"/>
        <xdr:cNvSpPr txBox="1">
          <a:spLocks noChangeArrowheads="1"/>
        </xdr:cNvSpPr>
      </xdr:nvSpPr>
      <xdr:spPr>
        <a:xfrm>
          <a:off x="4324350" y="14020800"/>
          <a:ext cx="4133850" cy="1123950"/>
        </a:xfrm>
        <a:prstGeom prst="rect">
          <a:avLst/>
        </a:prstGeom>
        <a:solidFill>
          <a:srgbClr val="F2F2F2"/>
        </a:solidFill>
        <a:ln w="0" cmpd="sng">
          <a:solidFill>
            <a:srgbClr val="DCE6F2"/>
          </a:solidFill>
          <a:headEnd type="none"/>
          <a:tailEnd type="none"/>
        </a:ln>
      </xdr:spPr>
      <xdr:txBody>
        <a:bodyPr vertOverflow="clip" wrap="square" lIns="91440" tIns="45720" rIns="91440" bIns="45720"/>
        <a:p>
          <a:pPr algn="l">
            <a:defRPr/>
          </a:pPr>
          <a:r>
            <a:rPr lang="en-US" cap="none" sz="800" b="0" i="0" u="none" baseline="0">
              <a:solidFill>
                <a:srgbClr val="003366"/>
              </a:solidFill>
              <a:latin typeface="Calibri"/>
              <a:ea typeface="Calibri"/>
              <a:cs typeface="Calibri"/>
            </a:rPr>
            <a:t>The model tracks costs for four help desk and support problem resolution scenarios:
Problem resolved remotely in first call
Problem resolved remotely in second call 
Problem resolved with one or more desk-side visits
Problem resolved with user hardware swap and return and IT remote reimage </a:t>
          </a:r>
        </a:p>
      </xdr:txBody>
    </xdr:sp>
    <xdr:clientData/>
  </xdr:twoCellAnchor>
  <xdr:twoCellAnchor>
    <xdr:from>
      <xdr:col>5</xdr:col>
      <xdr:colOff>0</xdr:colOff>
      <xdr:row>112</xdr:row>
      <xdr:rowOff>0</xdr:rowOff>
    </xdr:from>
    <xdr:to>
      <xdr:col>7</xdr:col>
      <xdr:colOff>1095375</xdr:colOff>
      <xdr:row>117</xdr:row>
      <xdr:rowOff>123825</xdr:rowOff>
    </xdr:to>
    <xdr:sp>
      <xdr:nvSpPr>
        <xdr:cNvPr id="15" name="TextBox 38"/>
        <xdr:cNvSpPr txBox="1">
          <a:spLocks noChangeArrowheads="1"/>
        </xdr:cNvSpPr>
      </xdr:nvSpPr>
      <xdr:spPr>
        <a:xfrm>
          <a:off x="4324350" y="26403300"/>
          <a:ext cx="4114800" cy="1381125"/>
        </a:xfrm>
        <a:prstGeom prst="rect">
          <a:avLst/>
        </a:prstGeom>
        <a:solidFill>
          <a:srgbClr val="F2F2F2"/>
        </a:solidFill>
        <a:ln w="0" cmpd="sng">
          <a:solidFill>
            <a:srgbClr val="DCE6F2"/>
          </a:solidFill>
          <a:headEnd type="none"/>
          <a:tailEnd type="none"/>
        </a:ln>
      </xdr:spPr>
      <xdr:txBody>
        <a:bodyPr vertOverflow="clip" wrap="square" lIns="91440" tIns="45720" rIns="91440" bIns="45720"/>
        <a:p>
          <a:pPr algn="l">
            <a:defRPr/>
          </a:pPr>
          <a:r>
            <a:rPr lang="en-US" cap="none" sz="800" b="0" i="0" u="none" baseline="0">
              <a:solidFill>
                <a:srgbClr val="003366"/>
              </a:solidFill>
              <a:latin typeface="Calibri"/>
              <a:ea typeface="Calibri"/>
              <a:cs typeface="Calibri"/>
            </a:rPr>
            <a:t>The model includes costs for the following move, add, delete (MAD) steps:
Deployment management (moves and adds)
Ordering and deploying hardware (moves and adds)
Image loading (moves and adds)
Application loading (moves and adds)
User-state migration (moves and adds)
Disposal (deletes)
IT incurs high costs if any of these tasks must be done desk side.</a:t>
          </a:r>
        </a:p>
      </xdr:txBody>
    </xdr:sp>
    <xdr:clientData/>
  </xdr:twoCellAnchor>
  <xdr:twoCellAnchor>
    <xdr:from>
      <xdr:col>5</xdr:col>
      <xdr:colOff>0</xdr:colOff>
      <xdr:row>87</xdr:row>
      <xdr:rowOff>19050</xdr:rowOff>
    </xdr:from>
    <xdr:to>
      <xdr:col>8</xdr:col>
      <xdr:colOff>0</xdr:colOff>
      <xdr:row>90</xdr:row>
      <xdr:rowOff>171450</xdr:rowOff>
    </xdr:to>
    <xdr:sp>
      <xdr:nvSpPr>
        <xdr:cNvPr id="16" name="TextBox 39"/>
        <xdr:cNvSpPr txBox="1">
          <a:spLocks noChangeArrowheads="1"/>
        </xdr:cNvSpPr>
      </xdr:nvSpPr>
      <xdr:spPr>
        <a:xfrm>
          <a:off x="4324350" y="20612100"/>
          <a:ext cx="4133850" cy="1028700"/>
        </a:xfrm>
        <a:prstGeom prst="rect">
          <a:avLst/>
        </a:prstGeom>
        <a:solidFill>
          <a:srgbClr val="F2F2F2"/>
        </a:solidFill>
        <a:ln w="0" cmpd="sng">
          <a:solidFill>
            <a:srgbClr val="DCE6F2"/>
          </a:solidFill>
          <a:headEnd type="none"/>
          <a:tailEnd type="none"/>
        </a:ln>
      </xdr:spPr>
      <xdr:txBody>
        <a:bodyPr vertOverflow="clip" wrap="square" lIns="91440" tIns="45720" rIns="91440" bIns="45720"/>
        <a:p>
          <a:pPr algn="l">
            <a:defRPr/>
          </a:pPr>
          <a:r>
            <a:rPr lang="en-US" cap="none" sz="800" b="0" i="0" u="none" baseline="0">
              <a:solidFill>
                <a:srgbClr val="003366"/>
              </a:solidFill>
              <a:latin typeface="Calibri"/>
              <a:ea typeface="Calibri"/>
              <a:cs typeface="Calibri"/>
            </a:rPr>
            <a:t>Patching, support, move/add/delete (MAD), compliance, and security all rely on accurate and timely asset inventories. The model tracks costs for two asset inventory scenarios:
Remote asset inventory
Manual inventory of systems missed in remote inventory</a:t>
          </a:r>
          <a:r>
            <a:rPr lang="en-US" cap="none" sz="800" b="0" i="0" u="none" baseline="0">
              <a:solidFill>
                <a:srgbClr val="000000"/>
              </a:solidFill>
              <a:latin typeface="Calibri"/>
              <a:ea typeface="Calibri"/>
              <a:cs typeface="Calibri"/>
            </a:rPr>
            <a:t>
</a:t>
          </a:r>
          <a:r>
            <a:rPr lang="en-US" cap="none" sz="1000" b="0" i="0" u="none" baseline="0">
              <a:solidFill>
                <a:srgbClr val="003366"/>
              </a:solidFill>
              <a:latin typeface="Calibri"/>
              <a:ea typeface="Calibri"/>
              <a:cs typeface="Calibri"/>
            </a:rPr>
            <a:t>
</a:t>
          </a:r>
        </a:p>
      </xdr:txBody>
    </xdr:sp>
    <xdr:clientData/>
  </xdr:twoCellAnchor>
  <xdr:twoCellAnchor>
    <xdr:from>
      <xdr:col>1</xdr:col>
      <xdr:colOff>0</xdr:colOff>
      <xdr:row>0</xdr:row>
      <xdr:rowOff>0</xdr:rowOff>
    </xdr:from>
    <xdr:to>
      <xdr:col>1</xdr:col>
      <xdr:colOff>619125</xdr:colOff>
      <xdr:row>0</xdr:row>
      <xdr:rowOff>638175</xdr:rowOff>
    </xdr:to>
    <xdr:pic>
      <xdr:nvPicPr>
        <xdr:cNvPr id="17" name="Picture 26" descr="PT Logo"/>
        <xdr:cNvPicPr preferRelativeResize="1">
          <a:picLocks noChangeAspect="1"/>
        </xdr:cNvPicPr>
      </xdr:nvPicPr>
      <xdr:blipFill>
        <a:blip r:embed="rId13"/>
        <a:stretch>
          <a:fillRect/>
        </a:stretch>
      </xdr:blipFill>
      <xdr:spPr>
        <a:xfrm>
          <a:off x="114300" y="0"/>
          <a:ext cx="619125" cy="638175"/>
        </a:xfrm>
        <a:prstGeom prst="rect">
          <a:avLst/>
        </a:prstGeom>
        <a:noFill/>
        <a:ln w="9525" cmpd="sng">
          <a:noFill/>
        </a:ln>
      </xdr:spPr>
    </xdr:pic>
    <xdr:clientData/>
  </xdr:twoCellAnchor>
  <xdr:twoCellAnchor>
    <xdr:from>
      <xdr:col>1</xdr:col>
      <xdr:colOff>781050</xdr:colOff>
      <xdr:row>0</xdr:row>
      <xdr:rowOff>9525</xdr:rowOff>
    </xdr:from>
    <xdr:to>
      <xdr:col>4</xdr:col>
      <xdr:colOff>9525</xdr:colOff>
      <xdr:row>0</xdr:row>
      <xdr:rowOff>628650</xdr:rowOff>
    </xdr:to>
    <xdr:sp>
      <xdr:nvSpPr>
        <xdr:cNvPr id="18" name="Text Box 28"/>
        <xdr:cNvSpPr txBox="1">
          <a:spLocks noChangeArrowheads="1"/>
        </xdr:cNvSpPr>
      </xdr:nvSpPr>
      <xdr:spPr>
        <a:xfrm>
          <a:off x="895350" y="9525"/>
          <a:ext cx="3381375" cy="619125"/>
        </a:xfrm>
        <a:prstGeom prst="rect">
          <a:avLst/>
        </a:prstGeom>
        <a:solidFill>
          <a:srgbClr val="FFFFFF"/>
        </a:solidFill>
        <a:ln w="9525" cmpd="sng">
          <a:solidFill>
            <a:srgbClr val="4F81BD"/>
          </a:solidFill>
          <a:headEnd type="none"/>
          <a:tailEnd type="none"/>
        </a:ln>
      </xdr:spPr>
      <xdr:txBody>
        <a:bodyPr vertOverflow="clip" wrap="square" lIns="36576" tIns="32004" rIns="0" bIns="0"/>
        <a:p>
          <a:pPr algn="l">
            <a:defRPr/>
          </a:pPr>
          <a:r>
            <a:rPr lang="en-US" cap="none" sz="1600" b="0" i="0" u="none" baseline="0">
              <a:solidFill>
                <a:srgbClr val="000000"/>
              </a:solidFill>
              <a:latin typeface="Arial"/>
              <a:ea typeface="Arial"/>
              <a:cs typeface="Arial"/>
            </a:rPr>
            <a:t>Principled Technologies</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Manageability</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calculator
</a:t>
          </a:r>
          <a:r>
            <a:rPr lang="en-US" cap="none" sz="1200" b="1" i="0" u="none" baseline="0">
              <a:solidFill>
                <a:srgbClr val="000000"/>
              </a:solidFill>
              <a:latin typeface="Arial"/>
              <a:ea typeface="Arial"/>
              <a:cs typeface="Arial"/>
            </a:rPr>
            <a:t>
</a:t>
          </a:r>
        </a:p>
      </xdr:txBody>
    </xdr:sp>
    <xdr:clientData/>
  </xdr:twoCellAnchor>
  <xdr:twoCellAnchor>
    <xdr:from>
      <xdr:col>1</xdr:col>
      <xdr:colOff>9525</xdr:colOff>
      <xdr:row>3</xdr:row>
      <xdr:rowOff>19050</xdr:rowOff>
    </xdr:from>
    <xdr:to>
      <xdr:col>4</xdr:col>
      <xdr:colOff>0</xdr:colOff>
      <xdr:row>12</xdr:row>
      <xdr:rowOff>171450</xdr:rowOff>
    </xdr:to>
    <xdr:graphicFrame>
      <xdr:nvGraphicFramePr>
        <xdr:cNvPr id="19" name="Patchingcost"/>
        <xdr:cNvGraphicFramePr/>
      </xdr:nvGraphicFramePr>
      <xdr:xfrm>
        <a:off x="123825" y="1133475"/>
        <a:ext cx="4143375" cy="1866900"/>
      </xdr:xfrm>
      <a:graphic>
        <a:graphicData uri="http://schemas.openxmlformats.org/drawingml/2006/chart">
          <c:chart xmlns:c="http://schemas.openxmlformats.org/drawingml/2006/chart" r:id="rId14"/>
        </a:graphicData>
      </a:graphic>
    </xdr:graphicFrame>
    <xdr:clientData/>
  </xdr:twoCellAnchor>
  <xdr:twoCellAnchor>
    <xdr:from>
      <xdr:col>5</xdr:col>
      <xdr:colOff>19050</xdr:colOff>
      <xdr:row>3</xdr:row>
      <xdr:rowOff>9525</xdr:rowOff>
    </xdr:from>
    <xdr:to>
      <xdr:col>7</xdr:col>
      <xdr:colOff>1104900</xdr:colOff>
      <xdr:row>12</xdr:row>
      <xdr:rowOff>180975</xdr:rowOff>
    </xdr:to>
    <xdr:graphicFrame>
      <xdr:nvGraphicFramePr>
        <xdr:cNvPr id="20" name="Patchingcost"/>
        <xdr:cNvGraphicFramePr/>
      </xdr:nvGraphicFramePr>
      <xdr:xfrm>
        <a:off x="4343400" y="1123950"/>
        <a:ext cx="4105275" cy="1885950"/>
      </xdr:xfrm>
      <a:graphic>
        <a:graphicData uri="http://schemas.openxmlformats.org/drawingml/2006/chart">
          <c:chart xmlns:c="http://schemas.openxmlformats.org/drawingml/2006/chart" r:id="rId15"/>
        </a:graphicData>
      </a:graphic>
    </xdr:graphicFrame>
    <xdr:clientData/>
  </xdr:twoCellAnchor>
  <xdr:twoCellAnchor>
    <xdr:from>
      <xdr:col>5</xdr:col>
      <xdr:colOff>0</xdr:colOff>
      <xdr:row>166</xdr:row>
      <xdr:rowOff>190500</xdr:rowOff>
    </xdr:from>
    <xdr:to>
      <xdr:col>8</xdr:col>
      <xdr:colOff>19050</xdr:colOff>
      <xdr:row>173</xdr:row>
      <xdr:rowOff>28575</xdr:rowOff>
    </xdr:to>
    <xdr:sp>
      <xdr:nvSpPr>
        <xdr:cNvPr id="21" name="TextBox 27"/>
        <xdr:cNvSpPr txBox="1">
          <a:spLocks noChangeArrowheads="1"/>
        </xdr:cNvSpPr>
      </xdr:nvSpPr>
      <xdr:spPr>
        <a:xfrm>
          <a:off x="4324350" y="39033450"/>
          <a:ext cx="4152900" cy="1476375"/>
        </a:xfrm>
        <a:prstGeom prst="rect">
          <a:avLst/>
        </a:prstGeom>
        <a:solidFill>
          <a:srgbClr val="F2F2F2"/>
        </a:solidFill>
        <a:ln w="0" cmpd="sng">
          <a:solidFill>
            <a:srgbClr val="DCE6F2"/>
          </a:solidFill>
          <a:headEnd type="none"/>
          <a:tailEnd type="none"/>
        </a:ln>
      </xdr:spPr>
      <xdr:txBody>
        <a:bodyPr vertOverflow="clip" wrap="square" lIns="91440" tIns="45720" rIns="91440" bIns="45720"/>
        <a:p>
          <a:pPr algn="l">
            <a:defRPr/>
          </a:pPr>
          <a:r>
            <a:rPr lang="en-US" cap="none" sz="800" b="1" i="0" u="none" baseline="0">
              <a:solidFill>
                <a:srgbClr val="003366"/>
              </a:solidFill>
              <a:latin typeface="Calibri"/>
              <a:ea typeface="Calibri"/>
              <a:cs typeface="Calibri"/>
            </a:rPr>
            <a:t>M</a:t>
          </a:r>
          <a:r>
            <a:rPr lang="en-US" cap="none" sz="800" b="0" i="0" u="none" baseline="0">
              <a:solidFill>
                <a:srgbClr val="003366"/>
              </a:solidFill>
              <a:latin typeface="Calibri"/>
              <a:ea typeface="Calibri"/>
              <a:cs typeface="Calibri"/>
            </a:rPr>
            <a:t>odel Description
The model includes costs of remediating infections and takes into account user downtime caused by server infections.The model tracks costs for five security problem resolution scenarios:
Problem resolved remotely in first call
Problem resolved remotely in second call 
Problem resolved with one or more desk-side visits
Problem resolved with user hardware swap and return and IT remote reimage 
Server infection resolved by IT server-side</a:t>
          </a:r>
        </a:p>
      </xdr:txBody>
    </xdr:sp>
    <xdr:clientData/>
  </xdr:twoCellAnchor>
  <xdr:twoCellAnchor>
    <xdr:from>
      <xdr:col>5</xdr:col>
      <xdr:colOff>19050</xdr:colOff>
      <xdr:row>138</xdr:row>
      <xdr:rowOff>0</xdr:rowOff>
    </xdr:from>
    <xdr:to>
      <xdr:col>8</xdr:col>
      <xdr:colOff>0</xdr:colOff>
      <xdr:row>144</xdr:row>
      <xdr:rowOff>85725</xdr:rowOff>
    </xdr:to>
    <xdr:sp>
      <xdr:nvSpPr>
        <xdr:cNvPr id="22" name="TextBox 28"/>
        <xdr:cNvSpPr txBox="1">
          <a:spLocks noChangeArrowheads="1"/>
        </xdr:cNvSpPr>
      </xdr:nvSpPr>
      <xdr:spPr>
        <a:xfrm>
          <a:off x="4343400" y="32251650"/>
          <a:ext cx="4114800" cy="1533525"/>
        </a:xfrm>
        <a:prstGeom prst="rect">
          <a:avLst/>
        </a:prstGeom>
        <a:solidFill>
          <a:srgbClr val="F2F2F2"/>
        </a:solidFill>
        <a:ln w="0" cmpd="sng">
          <a:solidFill>
            <a:srgbClr val="DCE6F2"/>
          </a:solidFill>
          <a:headEnd type="none"/>
          <a:tailEnd type="none"/>
        </a:ln>
      </xdr:spPr>
      <xdr:txBody>
        <a:bodyPr vertOverflow="clip" wrap="square" lIns="91440" tIns="45720" rIns="91440" bIns="45720"/>
        <a:p>
          <a:pPr algn="l">
            <a:defRPr/>
          </a:pPr>
          <a:r>
            <a:rPr lang="en-US" cap="none" sz="800" b="1" i="0" u="none" baseline="0">
              <a:solidFill>
                <a:srgbClr val="003366"/>
              </a:solidFill>
              <a:latin typeface="Calibri"/>
              <a:ea typeface="Calibri"/>
              <a:cs typeface="Calibri"/>
            </a:rPr>
            <a:t>M</a:t>
          </a:r>
          <a:r>
            <a:rPr lang="en-US" cap="none" sz="800" b="0" i="0" u="none" baseline="0">
              <a:solidFill>
                <a:srgbClr val="003366"/>
              </a:solidFill>
              <a:latin typeface="Calibri"/>
              <a:ea typeface="Calibri"/>
              <a:cs typeface="Calibri"/>
            </a:rPr>
            <a:t>odel description
The model tracks costs of remediating non-compliant software or devices. In a well-managed enterprise, IT runs periodic compliance scans to detect non-compliance and then implements automated (policy-driven) remediation. Scans check for patch, license agreement, software version, and image compliance. This model tracks non-compliance incidents and three remediation methods:
Automated remediation
Manual remediation by IT staff (may require deskside visit)
Manual remediation by user (for example, resetting passwords)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xdr:row>
      <xdr:rowOff>9525</xdr:rowOff>
    </xdr:from>
    <xdr:to>
      <xdr:col>7</xdr:col>
      <xdr:colOff>733425</xdr:colOff>
      <xdr:row>11</xdr:row>
      <xdr:rowOff>19050</xdr:rowOff>
    </xdr:to>
    <xdr:sp>
      <xdr:nvSpPr>
        <xdr:cNvPr id="1" name="TextBox 3"/>
        <xdr:cNvSpPr txBox="1">
          <a:spLocks noChangeArrowheads="1"/>
        </xdr:cNvSpPr>
      </xdr:nvSpPr>
      <xdr:spPr>
        <a:xfrm>
          <a:off x="5248275" y="476250"/>
          <a:ext cx="2390775" cy="1724025"/>
        </a:xfrm>
        <a:prstGeom prst="rect">
          <a:avLst/>
        </a:prstGeom>
        <a:solidFill>
          <a:srgbClr val="F2F2F2"/>
        </a:solidFill>
        <a:ln w="9525" cmpd="sng">
          <a:solidFill>
            <a:srgbClr val="BCBCBC"/>
          </a:solidFill>
          <a:headEnd type="none"/>
          <a:tailEnd type="none"/>
        </a:ln>
      </xdr:spPr>
      <xdr:txBody>
        <a:bodyPr vertOverflow="clip" wrap="square" lIns="91440" tIns="45720" rIns="91440" bIns="45720"/>
        <a:p>
          <a:pPr algn="l">
            <a:defRPr/>
          </a:pPr>
          <a:r>
            <a:rPr lang="en-US" cap="none" sz="800" b="1" i="0" u="none" baseline="0">
              <a:solidFill>
                <a:srgbClr val="003366"/>
              </a:solidFill>
              <a:latin typeface="Calibri"/>
              <a:ea typeface="Calibri"/>
              <a:cs typeface="Calibri"/>
            </a:rPr>
            <a:t>Instructions
</a:t>
          </a:r>
          <a:r>
            <a:rPr lang="en-US" cap="none" sz="800" b="0" i="0" u="none" baseline="0">
              <a:solidFill>
                <a:srgbClr val="003366"/>
              </a:solidFill>
              <a:latin typeface="Calibri"/>
              <a:ea typeface="Calibri"/>
              <a:cs typeface="Calibri"/>
            </a:rPr>
            <a:t>You can change</a:t>
          </a:r>
          <a:r>
            <a:rPr lang="en-US" cap="none" sz="800" b="0" i="0" u="none" baseline="0">
              <a:solidFill>
                <a:srgbClr val="003366"/>
              </a:solidFill>
              <a:latin typeface="Calibri"/>
              <a:ea typeface="Calibri"/>
              <a:cs typeface="Calibri"/>
            </a:rPr>
            <a:t> any of the numbers in the orange-shaded cells. (Gray cells show results of calculations.)</a:t>
          </a:r>
          <a:r>
            <a:rPr lang="en-US" cap="none" sz="800" b="0" i="0" u="none" baseline="0">
              <a:solidFill>
                <a:srgbClr val="003366"/>
              </a:solidFill>
              <a:latin typeface="Calibri"/>
              <a:ea typeface="Calibri"/>
              <a:cs typeface="Calibri"/>
            </a:rPr>
            <a:t> You can v</a:t>
          </a:r>
          <a:r>
            <a:rPr lang="en-US" cap="none" sz="800" b="0" i="0" u="none" baseline="0">
              <a:solidFill>
                <a:srgbClr val="003366"/>
              </a:solidFill>
              <a:latin typeface="Calibri"/>
              <a:ea typeface="Calibri"/>
              <a:cs typeface="Calibri"/>
            </a:rPr>
            <a:t>iew more detailed results of your changes on the tables on the Summary tab.
</a:t>
          </a:r>
          <a:r>
            <a:rPr lang="en-US" cap="none" sz="800" b="0" i="0" u="none" baseline="0">
              <a:solidFill>
                <a:srgbClr val="003366"/>
              </a:solidFill>
              <a:latin typeface="Calibri"/>
              <a:ea typeface="Calibri"/>
              <a:cs typeface="Calibri"/>
            </a:rPr>
            <a:t>
</a:t>
          </a:r>
          <a:r>
            <a:rPr lang="en-US" cap="none" sz="800" b="0" i="0" u="none" baseline="0">
              <a:solidFill>
                <a:srgbClr val="003366"/>
              </a:solidFill>
              <a:latin typeface="Calibri"/>
              <a:ea typeface="Calibri"/>
              <a:cs typeface="Calibri"/>
            </a:rPr>
            <a:t>Notes on assumptions and default values appear both at the bottom of this tab and in comment fields.</a:t>
          </a:r>
          <a:r>
            <a:rPr lang="en-US" cap="none" sz="800" b="0" i="0" u="none" baseline="0">
              <a:solidFill>
                <a:srgbClr val="003366"/>
              </a:solidFill>
              <a:latin typeface="Calibri"/>
              <a:ea typeface="Calibri"/>
              <a:cs typeface="Calibri"/>
            </a:rPr>
            <a:t>
</a:t>
          </a:r>
        </a:p>
      </xdr:txBody>
    </xdr:sp>
    <xdr:clientData/>
  </xdr:twoCellAnchor>
  <xdr:twoCellAnchor>
    <xdr:from>
      <xdr:col>1</xdr:col>
      <xdr:colOff>38100</xdr:colOff>
      <xdr:row>78</xdr:row>
      <xdr:rowOff>9525</xdr:rowOff>
    </xdr:from>
    <xdr:to>
      <xdr:col>7</xdr:col>
      <xdr:colOff>714375</xdr:colOff>
      <xdr:row>112</xdr:row>
      <xdr:rowOff>161925</xdr:rowOff>
    </xdr:to>
    <xdr:sp>
      <xdr:nvSpPr>
        <xdr:cNvPr id="2" name="TextBox 2"/>
        <xdr:cNvSpPr txBox="1">
          <a:spLocks noChangeArrowheads="1"/>
        </xdr:cNvSpPr>
      </xdr:nvSpPr>
      <xdr:spPr>
        <a:xfrm>
          <a:off x="152400" y="18697575"/>
          <a:ext cx="7467600" cy="6629400"/>
        </a:xfrm>
        <a:prstGeom prst="rect">
          <a:avLst/>
        </a:prstGeom>
        <a:solidFill>
          <a:srgbClr val="FFFFFF"/>
        </a:solidFill>
        <a:ln w="9525" cmpd="sng">
          <a:noFill/>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Sources</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Case Studies with Intel® vPro™ processor technology An Analysis of Early Testing of Intel® vPro™ processor technology in Large IT Departments (Intel.com), an analysis of 10 pilot implementations of the new Intel vPro processor technology based PCs (2007).</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Improving Asset Inventories and Reducing IT Costs with Intel® vPro™ Technology (Intel.com), a report of an EDS investigation of cost savings for PCs with Intel® vPro™ technology (2006). 
</a:t>
          </a:r>
          <a:r>
            <a:rPr lang="en-US" cap="none" sz="900" b="0" i="0" u="none" baseline="0">
              <a:solidFill>
                <a:srgbClr val="000000"/>
              </a:solidFill>
              <a:latin typeface="Calibri"/>
              <a:ea typeface="Calibri"/>
              <a:cs typeface="Calibri"/>
            </a:rPr>
            <a:t>Intel® vPro™ Technology Offers Johns Hopkins New Ways to Increase the Efficiency of Remote PC Management (Intel.com), an evaluation by The Johns Hopkins IT Group worked with Intel® Solution Services of the remote PC management capabilities of Intel vPro technology. 
</a:t>
          </a:r>
          <a:r>
            <a:rPr lang="en-US" cap="none" sz="900" b="0" i="0" u="none" baseline="0">
              <a:solidFill>
                <a:srgbClr val="000000"/>
              </a:solidFill>
              <a:latin typeface="Calibri"/>
              <a:ea typeface="Calibri"/>
              <a:cs typeface="Calibri"/>
            </a:rPr>
            <a:t>Measuring the Value of Intel® vPro™ Technology in the Enterprise, Wipro Ltd. (2006).
</a:t>
          </a:r>
          <a:r>
            <a:rPr lang="en-US" cap="none" sz="900" b="0" i="0" u="none" baseline="0">
              <a:solidFill>
                <a:srgbClr val="000000"/>
              </a:solidFill>
              <a:latin typeface="Calibri"/>
              <a:ea typeface="Calibri"/>
              <a:cs typeface="Calibri"/>
            </a:rPr>
            <a:t>Thin clients: Exploring Rollout Costs, Principled Technologies, Inc. (2007).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Notes on default values</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Corporate Information</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 Source: Measuring the Value of Intel® vPro™ Technology in the Enterprise, Wipro Ltd. (2006). 
</a:t>
          </a:r>
          <a:r>
            <a:rPr lang="en-US" cap="none" sz="900" b="0" i="0" u="none" baseline="0">
              <a:solidFill>
                <a:srgbClr val="000000"/>
              </a:solidFill>
              <a:latin typeface="Calibri"/>
              <a:ea typeface="Calibri"/>
              <a:cs typeface="Calibri"/>
            </a:rPr>
            <a:t>2. We assume that an enterprise with 40,000 total computers is converting 8,000 users from PCs to well-managed vPro/Centrino Pro or server-based computing with thin clients. 
</a:t>
          </a:r>
          <a:r>
            <a:rPr lang="en-US" cap="none" sz="900" b="0" i="0" u="none" baseline="0">
              <a:solidFill>
                <a:srgbClr val="000000"/>
              </a:solidFill>
              <a:latin typeface="Calibri"/>
              <a:ea typeface="Calibri"/>
              <a:cs typeface="Calibri"/>
            </a:rPr>
            <a:t>3. Percentage growth in system need per year. We estimate a 10 pecent growth rate with the client count growing to 8,800 by end of the year. 
</a:t>
          </a:r>
          <a:r>
            <a:rPr lang="en-US" cap="none" sz="900" b="0" i="0" u="none" baseline="0">
              <a:solidFill>
                <a:srgbClr val="000000"/>
              </a:solidFill>
              <a:latin typeface="Calibri"/>
              <a:ea typeface="Calibri"/>
              <a:cs typeface="Calibri"/>
            </a:rPr>
            <a:t>4. We assume that the clients are spread across 10 of the enterprise's 40 sites. 
</a:t>
          </a:r>
          <a:r>
            <a:rPr lang="en-US" cap="none" sz="900" b="0" i="0" u="none" baseline="0">
              <a:solidFill>
                <a:srgbClr val="000000"/>
              </a:solidFill>
              <a:latin typeface="Calibri"/>
              <a:ea typeface="Calibri"/>
              <a:cs typeface="Calibri"/>
            </a:rPr>
            <a:t>5. We assume that the users  of these systems run 60 of the 102 applications the company deploys (approximately 60 percent). 
</a:t>
          </a:r>
          <a:r>
            <a:rPr lang="en-US" cap="none" sz="900" b="0" i="0" u="none" baseline="0">
              <a:solidFill>
                <a:srgbClr val="000000"/>
              </a:solidFill>
              <a:latin typeface="Calibri"/>
              <a:ea typeface="Calibri"/>
              <a:cs typeface="Calibri"/>
            </a:rPr>
            <a:t>6. Each additional user configuration that IT supports raises IT costs, adding to the number of images IT manages and increasing the complexity of patching, support, deployment, security, and compliance tasks.
</a:t>
          </a:r>
          <a:r>
            <a:rPr lang="en-US" cap="none" sz="900" b="0" i="0" u="none" baseline="0">
              <a:solidFill>
                <a:srgbClr val="000000"/>
              </a:solidFill>
              <a:latin typeface="Calibri"/>
              <a:ea typeface="Calibri"/>
              <a:cs typeface="Calibri"/>
            </a:rPr>
            <a:t>7. Each additional server configuration that IT supports raises IT costs, adding to the number of images IT manages and increasing the complexity of server patching, support, deployment, security, and compliance. 
</a:t>
          </a:r>
          <a:r>
            <a:rPr lang="en-US" cap="none" sz="900" b="0" i="0" u="none" baseline="0">
              <a:solidFill>
                <a:srgbClr val="000000"/>
              </a:solidFill>
              <a:latin typeface="Calibri"/>
              <a:ea typeface="Calibri"/>
              <a:cs typeface="Calibri"/>
            </a:rPr>
            <a:t>8. Calculations are based on 245 working days per year on average for the enterprise staff.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Staffing costs</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 Assumes 8-hour workday.
</a:t>
          </a:r>
          <a:r>
            <a:rPr lang="en-US" cap="none" sz="900" b="0" i="0" u="none" baseline="0">
              <a:solidFill>
                <a:srgbClr val="000000"/>
              </a:solidFill>
              <a:latin typeface="Calibri"/>
              <a:ea typeface="Calibri"/>
              <a:cs typeface="Calibri"/>
            </a:rPr>
            <a:t>2. Estimate of average annual burdened rate for the 8,000 users. 
</a:t>
          </a:r>
          <a:r>
            <a:rPr lang="en-US" cap="none" sz="900" b="0" i="0" u="none" baseline="0">
              <a:solidFill>
                <a:srgbClr val="000000"/>
              </a:solidFill>
              <a:latin typeface="Calibri"/>
              <a:ea typeface="Calibri"/>
              <a:cs typeface="Calibri"/>
            </a:rPr>
            <a:t>3. We use the average annual burdened rate for staff from the Wipro Ltd. report for help desk and support staff costs. 
</a:t>
          </a:r>
          <a:r>
            <a:rPr lang="en-US" cap="none" sz="900" b="0" i="0" u="none" baseline="0">
              <a:solidFill>
                <a:srgbClr val="000000"/>
              </a:solidFill>
              <a:latin typeface="Calibri"/>
              <a:ea typeface="Calibri"/>
              <a:cs typeface="Calibri"/>
            </a:rPr>
            <a:t>4. Estimated cost of staff responsible for deploying new systems.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Platform-specific client and server inputs</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 The average number of clients that are inaccessible or unresponsive to management tools at any one time. Inaccessible clients are a major manageability cost factor. Clients that are inaccessible to automated management tools must be managed deskside, leading to higher costs for IT and more user downtime. Various studies supported by Intel provide estimates of 95 to 100 percent accessibility for clients with vPro technology. Ranges for accessibility of non-vPro rich clients range widely from 70 to 90 percent. The higher estimates typically reflect clients with Wake-on LAN-capabilities. Thin clients are usually accessible and responsive to management tools.
</a:t>
          </a:r>
          <a:r>
            <a:rPr lang="en-US" cap="none" sz="900" b="0" i="0" u="none" baseline="0">
              <a:solidFill>
                <a:srgbClr val="000000"/>
              </a:solidFill>
              <a:latin typeface="Calibri"/>
              <a:ea typeface="Calibri"/>
              <a:cs typeface="Calibri"/>
            </a:rPr>
            <a:t>2. The WiPro Ltd. whitepaper estimates a four-year refresh cycle for rich clients. Thin clients typically have a longer refresh cycle.
</a:t>
          </a:r>
          <a:r>
            <a:rPr lang="en-US" cap="none" sz="900" b="0" i="0" u="none" baseline="0">
              <a:solidFill>
                <a:srgbClr val="000000"/>
              </a:solidFill>
              <a:latin typeface="Calibri"/>
              <a:ea typeface="Calibri"/>
              <a:cs typeface="Calibri"/>
            </a:rPr>
            <a:t>3. In Thin clients: Exploring Rollout Costs, (2007), we estimate 60 clients per server for thin clients, assuming users making light to medium demands on the server. A different demand level would alter this number. We used www.hp.com to configure servers to host both the applications and, in the case of the thin client platform, the thin clients. Our estimates are based on using HP Proliant DL360 G5 servers with two dual-core Intel Xeon 3.0GHZ CPUs and 4GB of RAM. 
</a:t>
          </a:r>
          <a:r>
            <a:rPr lang="en-US" cap="none" sz="900" b="0" i="0" u="none" baseline="0">
              <a:solidFill>
                <a:srgbClr val="000000"/>
              </a:solidFill>
              <a:latin typeface="Calibri"/>
              <a:ea typeface="Calibri"/>
              <a:cs typeface="Calibri"/>
            </a:rPr>
            <a:t>4. Calculated based on the number of client systems per server in the previous row and 8,000 clients.
</a:t>
          </a:r>
          <a:r>
            <a:rPr lang="en-US" cap="none" sz="900" b="0" i="0" u="none" baseline="0">
              <a:solidFill>
                <a:srgbClr val="000000"/>
              </a:solidFill>
              <a:latin typeface="Calibri"/>
              <a:ea typeface="Calibri"/>
              <a:cs typeface="Calibri"/>
            </a:rPr>
            <a:t/>
          </a:r>
        </a:p>
      </xdr:txBody>
    </xdr:sp>
    <xdr:clientData/>
  </xdr:twoCellAnchor>
  <xdr:oneCellAnchor>
    <xdr:from>
      <xdr:col>2</xdr:col>
      <xdr:colOff>752475</xdr:colOff>
      <xdr:row>57</xdr:row>
      <xdr:rowOff>95250</xdr:rowOff>
    </xdr:from>
    <xdr:ext cx="190500" cy="285750"/>
    <xdr:sp>
      <xdr:nvSpPr>
        <xdr:cNvPr id="3" name="TextBox 4"/>
        <xdr:cNvSpPr txBox="1">
          <a:spLocks noChangeArrowheads="1"/>
        </xdr:cNvSpPr>
      </xdr:nvSpPr>
      <xdr:spPr>
        <a:xfrm>
          <a:off x="3514725" y="13573125"/>
          <a:ext cx="19050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twoCellAnchor>
    <xdr:from>
      <xdr:col>1</xdr:col>
      <xdr:colOff>9525</xdr:colOff>
      <xdr:row>113</xdr:row>
      <xdr:rowOff>28575</xdr:rowOff>
    </xdr:from>
    <xdr:to>
      <xdr:col>7</xdr:col>
      <xdr:colOff>685800</xdr:colOff>
      <xdr:row>148</xdr:row>
      <xdr:rowOff>123825</xdr:rowOff>
    </xdr:to>
    <xdr:sp>
      <xdr:nvSpPr>
        <xdr:cNvPr id="4" name="TextBox 2"/>
        <xdr:cNvSpPr txBox="1">
          <a:spLocks noChangeArrowheads="1"/>
        </xdr:cNvSpPr>
      </xdr:nvSpPr>
      <xdr:spPr>
        <a:xfrm>
          <a:off x="123825" y="25384125"/>
          <a:ext cx="7467600" cy="6762750"/>
        </a:xfrm>
        <a:prstGeom prst="rect">
          <a:avLst/>
        </a:prstGeom>
        <a:solidFill>
          <a:srgbClr val="FFFFFF"/>
        </a:solidFill>
        <a:ln w="9525" cmpd="sng">
          <a:noFill/>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Patch distribution details </a:t>
          </a:r>
          <a:r>
            <a:rPr lang="en-US" cap="none" sz="900" b="0" i="0" u="none" baseline="0">
              <a:solidFill>
                <a:srgbClr val="000000"/>
              </a:solidFill>
              <a:latin typeface="Calibri"/>
              <a:ea typeface="Calibri"/>
              <a:cs typeface="Calibri"/>
            </a:rPr>
            <a:t>
1. Source: Novell white paper recommends monthly patches. Some enterprises schedule weekly distributions. 
2. Source: Novell white paper estimates two annual unscheduled patch distributions. 
3. Sum of scheduled and unscheduled distributions in previous two rows. 
4. Assumes most client configurations get at least one patch in monthly patch distribution. 
5. Average percentage of client configurations targeted per distribution times the number of client configurations. 
6. Assumes most servers get one or more patches in each patch distribution.  
7. Average percentage of server configurations targeted per patch distribution times the number of client configurations. 
8. Assumes few patching problems for servers with most servers responding to remote management tools.  
</a:t>
          </a:r>
          <a:r>
            <a:rPr lang="en-US" cap="none" sz="900" b="1" i="0" u="none" baseline="0">
              <a:solidFill>
                <a:srgbClr val="000000"/>
              </a:solidFill>
              <a:latin typeface="Calibri"/>
              <a:ea typeface="Calibri"/>
              <a:cs typeface="Calibri"/>
            </a:rPr>
            <a:t>Help desk support and services call counts</a:t>
          </a:r>
          <a:r>
            <a:rPr lang="en-US" cap="none" sz="900" b="0" i="0" u="none" baseline="0">
              <a:solidFill>
                <a:srgbClr val="000000"/>
              </a:solidFill>
              <a:latin typeface="Calibri"/>
              <a:ea typeface="Calibri"/>
              <a:cs typeface="Calibri"/>
            </a:rPr>
            <a:t>
1. We anticipate the highest call volume for well-managed non-vPro rich clients. 
2. Source: based on estimate in the Managing Training Rooms with Intel® vPro™ Processor Technology 
white paper that shows 65 percent of call center tickets are for hardware. 
3. Percentage of calls that are software related is 100 percent minus percentage of calls that are hardware related. 
4. Number of calls is calculated by multiplying percentage of calls by number of clients. 
5. Number of calls is calculated by multiplying percentage of calls by number of clients. 
6. Source: We base our estimates on average desk-side visit counts for vPro and non-vPro rich clients in the white paper Case Studies with Intel® vPro™ processor technology An Analysis of Early Testing of Intel® vPro™ processor technology in Large IT Departments. That report shows average number desk-side visits to non-vPro clients for software fix of 1.64 and for hardware fix of 2.29; for vPro systems those numbers are .14 for software fix and 1 for hardware fix. We use those numbers to drive our estimate of 14 percent of software problems requiring a desk-side visit for vPro systems. Number of visits for thin clients will be lower because in general thin client problems are remediated with hardware swaps rather than desk-side repairs. 
7. We base our estimate on the averages in An Analysis of Early Testing of Intel® vPro™ processor technology in Large IT Departments.
</a:t>
          </a:r>
          <a:r>
            <a:rPr lang="en-US" cap="none" sz="900" b="1" i="0" u="none" baseline="0">
              <a:solidFill>
                <a:srgbClr val="000000"/>
              </a:solidFill>
              <a:latin typeface="Calibri"/>
              <a:ea typeface="Calibri"/>
              <a:cs typeface="Calibri"/>
            </a:rPr>
            <a:t>Asset inventory details</a:t>
          </a:r>
          <a:r>
            <a:rPr lang="en-US" cap="none" sz="900" b="0" i="0" u="none" baseline="0">
              <a:solidFill>
                <a:srgbClr val="000000"/>
              </a:solidFill>
              <a:latin typeface="Calibri"/>
              <a:ea typeface="Calibri"/>
              <a:cs typeface="Calibri"/>
            </a:rPr>
            <a:t>
1.  Assumes an average of approximately one asset inventory every three days. 
2.  Average percentage of clients accessible remotely by management tools.
3.  Accessible clients that have additional inventory problems. We estimate none or negligible additional problems.  
4.  Success rate of remote asset inventory calculated by subtracting the accessible clients that have additional inventory problems from the average percentage of clients accessible remotely by management tools, the values in the previous two rows.
</a:t>
          </a:r>
          <a:r>
            <a:rPr lang="en-US" cap="none" sz="900" b="1" i="0" u="none" baseline="0">
              <a:solidFill>
                <a:srgbClr val="000000"/>
              </a:solidFill>
              <a:latin typeface="Calibri"/>
              <a:ea typeface="Calibri"/>
              <a:cs typeface="Calibri"/>
            </a:rPr>
            <a:t>Move add, delete details</a:t>
          </a:r>
          <a:r>
            <a:rPr lang="en-US" cap="none" sz="900" b="0" i="0" u="none" baseline="0">
              <a:solidFill>
                <a:srgbClr val="000000"/>
              </a:solidFill>
              <a:latin typeface="Calibri"/>
              <a:ea typeface="Calibri"/>
              <a:cs typeface="Calibri"/>
            </a:rPr>
            <a:t>
1. Estimate of number of client systems that IT has to move each year.
2. Calculated based on the number of clients and the client replacement schedule.
3. Calculated based on number of clients and annual growth rate .
4. Calculated based on the number of clients and the percentage of system moves per year.
5. Sum of the number of systems replaced per year and the number of additional systems per year.
6. Number of system deletes is equal to the number of systems replaced per year.
7. 100% minus the average percentage of clients accessible remotely by management tools.
8. Failure rate for accessible clients. 
9. Number of moves per year multiplied by sum of percentage of clients not accessible remotely and additional deployment failures. 
10. Number of adds per year multiplied by sum of percentage of clients not accessible remotely and additional deployment failures.
</a:t>
          </a:r>
        </a:p>
      </xdr:txBody>
    </xdr:sp>
    <xdr:clientData/>
  </xdr:twoCellAnchor>
  <xdr:twoCellAnchor>
    <xdr:from>
      <xdr:col>1</xdr:col>
      <xdr:colOff>19050</xdr:colOff>
      <xdr:row>148</xdr:row>
      <xdr:rowOff>142875</xdr:rowOff>
    </xdr:from>
    <xdr:to>
      <xdr:col>7</xdr:col>
      <xdr:colOff>695325</xdr:colOff>
      <xdr:row>159</xdr:row>
      <xdr:rowOff>0</xdr:rowOff>
    </xdr:to>
    <xdr:sp>
      <xdr:nvSpPr>
        <xdr:cNvPr id="5" name="TextBox 2"/>
        <xdr:cNvSpPr txBox="1">
          <a:spLocks noChangeArrowheads="1"/>
        </xdr:cNvSpPr>
      </xdr:nvSpPr>
      <xdr:spPr>
        <a:xfrm>
          <a:off x="133350" y="32165925"/>
          <a:ext cx="7467600" cy="1952625"/>
        </a:xfrm>
        <a:prstGeom prst="rect">
          <a:avLst/>
        </a:prstGeom>
        <a:solidFill>
          <a:srgbClr val="FFFFFF"/>
        </a:solidFill>
        <a:ln w="9525" cmpd="sng">
          <a:noFill/>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Compliance details 
</a:t>
          </a:r>
          <a:r>
            <a:rPr lang="en-US" cap="none" sz="900" b="0" i="0" u="none" baseline="0">
              <a:solidFill>
                <a:srgbClr val="000000"/>
              </a:solidFill>
              <a:latin typeface="Calibri"/>
              <a:ea typeface="Calibri"/>
              <a:cs typeface="Calibri"/>
            </a:rPr>
            <a:t>1. Assumes compliance audits run multiple times per month. 
2 Average percentage of clients accessible remotely by management tools.
3. Percentage of systems needing remediation (per audit) calculated by subtracting the accessible clients that have additional inventory problems from the average percentage of clients accessible remotely by management tools, the values in the previous two rows.
</a:t>
          </a:r>
          <a:r>
            <a:rPr lang="en-US" cap="none" sz="900" b="1" i="0" u="none" baseline="0">
              <a:solidFill>
                <a:srgbClr val="000000"/>
              </a:solidFill>
              <a:latin typeface="Calibri"/>
              <a:ea typeface="Calibri"/>
              <a:cs typeface="Calibri"/>
            </a:rPr>
            <a:t>
Security infections
</a:t>
          </a:r>
          <a:r>
            <a:rPr lang="en-US" cap="none" sz="900" b="0" i="0" u="none" baseline="0">
              <a:solidFill>
                <a:srgbClr val="000000"/>
              </a:solidFill>
              <a:latin typeface="Calibri"/>
              <a:ea typeface="Calibri"/>
              <a:cs typeface="Calibri"/>
            </a:rPr>
            <a:t>1. We assume users download viruses or other security threats and call on IT to remediate or IT detects the threat using management tools.
2.We assume problem resolution requires at most one desk-side visit.</a:t>
          </a:r>
          <a:r>
            <a:rPr lang="en-US" cap="none" sz="900" b="1"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105</xdr:row>
      <xdr:rowOff>19050</xdr:rowOff>
    </xdr:from>
    <xdr:to>
      <xdr:col>8</xdr:col>
      <xdr:colOff>781050</xdr:colOff>
      <xdr:row>131</xdr:row>
      <xdr:rowOff>152400</xdr:rowOff>
    </xdr:to>
    <xdr:sp>
      <xdr:nvSpPr>
        <xdr:cNvPr id="1" name="TextBox 4"/>
        <xdr:cNvSpPr txBox="1">
          <a:spLocks noChangeArrowheads="1"/>
        </xdr:cNvSpPr>
      </xdr:nvSpPr>
      <xdr:spPr>
        <a:xfrm>
          <a:off x="123825" y="28232100"/>
          <a:ext cx="7600950" cy="5248275"/>
        </a:xfrm>
        <a:prstGeom prst="rect">
          <a:avLst/>
        </a:prstGeom>
        <a:solidFill>
          <a:srgbClr val="FFFFFF"/>
        </a:solidFill>
        <a:ln w="9525" cmpd="sng">
          <a:noFill/>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Sources
</a:t>
          </a:r>
          <a:r>
            <a:rPr lang="en-US" cap="none" sz="900" b="0" i="0" u="none" baseline="0">
              <a:solidFill>
                <a:srgbClr val="000000"/>
              </a:solidFill>
              <a:latin typeface="Calibri"/>
              <a:ea typeface="Calibri"/>
              <a:cs typeface="Calibri"/>
            </a:rPr>
            <a:t>Automated Patch Management: Impressive Return on Investment, 2006, Novell Inc. (http://www.novell.com/rc/docrepository/public/37/RC-23962/29134.pdf). 
</a:t>
          </a:r>
          <a:r>
            <a:rPr lang="en-US" cap="none" sz="900" b="0" i="0" u="none" baseline="0">
              <a:solidFill>
                <a:srgbClr val="000000"/>
              </a:solidFill>
              <a:latin typeface="Calibri"/>
              <a:ea typeface="Calibri"/>
              <a:cs typeface="Calibri"/>
            </a:rPr>
            <a:t>Improving IT Services and Increasing User Uptime with Intel vPro Solutions, 2006, Intel (http://www.intel.com/business/casestudies/atos_solutions_brief.pdf), a white paper report of an Atos Origin conducted investigation of the capabilities built into PCs with Intel® vPro™ technology. 
</a:t>
          </a:r>
          <a:r>
            <a:rPr lang="en-US" cap="none" sz="900" b="0" i="0" u="none" baseline="0">
              <a:solidFill>
                <a:srgbClr val="000000"/>
              </a:solidFill>
              <a:latin typeface="Calibri"/>
              <a:ea typeface="Calibri"/>
              <a:cs typeface="Calibri"/>
            </a:rPr>
            <a:t>Measuring the Value of Intel® vPro™ Technology in the Enterprise, Wipro Ltd., 2006 (www.Intel.com).
</a:t>
          </a:r>
          <a:r>
            <a:rPr lang="en-US" cap="none" sz="900" b="0" i="0" u="none" baseline="0">
              <a:solidFill>
                <a:srgbClr val="000000"/>
              </a:solidFill>
              <a:latin typeface="Calibri"/>
              <a:ea typeface="Calibri"/>
              <a:cs typeface="Calibri"/>
            </a:rPr>
            <a:t>Reducing Manual Processes with Improved Remote Security, Inventory, and Problem Resolution, a white paper by Siemens and Intel (www.Intel.com).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Notes on default values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Client patch distribution details 
</a:t>
          </a:r>
          <a:r>
            <a:rPr lang="en-US" cap="none" sz="900" b="0" i="0" u="none" baseline="0">
              <a:solidFill>
                <a:srgbClr val="000000"/>
              </a:solidFill>
              <a:latin typeface="Calibri"/>
              <a:ea typeface="Calibri"/>
              <a:cs typeface="Calibri"/>
            </a:rPr>
            <a:t>1. Assumes greater number of rich clients than thin clients get each patch distribution. 
</a:t>
          </a:r>
          <a:r>
            <a:rPr lang="en-US" cap="none" sz="900" b="0" i="0" u="none" baseline="0">
              <a:solidFill>
                <a:srgbClr val="000000"/>
              </a:solidFill>
              <a:latin typeface="Calibri"/>
              <a:ea typeface="Calibri"/>
              <a:cs typeface="Calibri"/>
            </a:rPr>
            <a:t>2. Total number of clients times average percentage of systems targeted for each patch distribution. 
</a:t>
          </a:r>
          <a:r>
            <a:rPr lang="en-US" cap="none" sz="900" b="0" i="0" u="none" baseline="0">
              <a:solidFill>
                <a:srgbClr val="000000"/>
              </a:solidFill>
              <a:latin typeface="Calibri"/>
              <a:ea typeface="Calibri"/>
              <a:cs typeface="Calibri"/>
            </a:rPr>
            <a:t>3. 100 percent minus the percentage of clients accessible remotely on Questionnaire tab. 
</a:t>
          </a:r>
          <a:r>
            <a:rPr lang="en-US" cap="none" sz="900" b="0" i="0" u="none" baseline="0">
              <a:solidFill>
                <a:srgbClr val="000000"/>
              </a:solidFill>
              <a:latin typeface="Calibri"/>
              <a:ea typeface="Calibri"/>
              <a:cs typeface="Calibri"/>
            </a:rPr>
            <a:t>4. Percentage of accessible clients with patch failures. We estimate no or negligible additional problems. 
</a:t>
          </a:r>
          <a:r>
            <a:rPr lang="en-US" cap="none" sz="900" b="0" i="0" u="none" baseline="0">
              <a:solidFill>
                <a:srgbClr val="000000"/>
              </a:solidFill>
              <a:latin typeface="Calibri"/>
              <a:ea typeface="Calibri"/>
              <a:cs typeface="Calibri"/>
            </a:rPr>
            <a:t>5. Sum of percentage of clients accessible remotely plus percentage of accessible clients with patch distribution failures times average number of clients receiving each distribution.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Server patch distribution details 
</a:t>
          </a:r>
          <a:r>
            <a:rPr lang="en-US" cap="none" sz="900" b="0" i="0" u="none" baseline="0">
              <a:solidFill>
                <a:srgbClr val="000000"/>
              </a:solidFill>
              <a:latin typeface="Calibri"/>
              <a:ea typeface="Calibri"/>
              <a:cs typeface="Calibri"/>
            </a:rPr>
            <a:t>1. Assumes most servers get one or more patches in each distribution. 
</a:t>
          </a:r>
          <a:r>
            <a:rPr lang="en-US" cap="none" sz="900" b="0" i="0" u="none" baseline="0">
              <a:solidFill>
                <a:srgbClr val="000000"/>
              </a:solidFill>
              <a:latin typeface="Calibri"/>
              <a:ea typeface="Calibri"/>
              <a:cs typeface="Calibri"/>
            </a:rPr>
            <a:t>2. Total number of servers (from the Questionnaire tab) times average percentage of clients targeted for each patch distribution. 
</a:t>
          </a:r>
          <a:r>
            <a:rPr lang="en-US" cap="none" sz="900" b="0" i="0" u="none" baseline="0">
              <a:solidFill>
                <a:srgbClr val="000000"/>
              </a:solidFill>
              <a:latin typeface="Calibri"/>
              <a:ea typeface="Calibri"/>
              <a:cs typeface="Calibri"/>
            </a:rPr>
            <a:t>3. Percentage of servers accessible remotely on Questionnaire tab. 
</a:t>
          </a:r>
          <a:r>
            <a:rPr lang="en-US" cap="none" sz="900" b="0" i="0" u="none" baseline="0">
              <a:solidFill>
                <a:srgbClr val="000000"/>
              </a:solidFill>
              <a:latin typeface="Calibri"/>
              <a:ea typeface="Calibri"/>
              <a:cs typeface="Calibri"/>
            </a:rPr>
            <a:t>4</a:t>
          </a:r>
          <a:r>
            <a:rPr lang="en-US" cap="none" sz="900" b="0" i="0" u="none" baseline="0">
              <a:solidFill>
                <a:srgbClr val="FF0000"/>
              </a:solidFill>
              <a:latin typeface="Calibri"/>
              <a:ea typeface="Calibri"/>
              <a:cs typeface="Calibri"/>
            </a:rPr>
            <a:t>. </a:t>
          </a:r>
          <a:r>
            <a:rPr lang="en-US" cap="none" sz="900" b="0" i="0" u="none" baseline="0">
              <a:solidFill>
                <a:srgbClr val="000000"/>
              </a:solidFill>
              <a:latin typeface="Calibri"/>
              <a:ea typeface="Calibri"/>
              <a:cs typeface="Calibri"/>
            </a:rPr>
            <a:t>Accessible servers that have additional patching problems. We estimate no or negligible additional problems. 
</a:t>
          </a:r>
          <a:r>
            <a:rPr lang="en-US" cap="none" sz="900" b="0" i="0" u="none" baseline="0">
              <a:solidFill>
                <a:srgbClr val="000000"/>
              </a:solidFill>
              <a:latin typeface="Calibri"/>
              <a:ea typeface="Calibri"/>
              <a:cs typeface="Calibri"/>
            </a:rPr>
            <a:t>5. Sum of percentage of servers not accessible remotely plus percentage of accessible servers with patch distribution failures times average number of servers receiving each distribution. 
</a:t>
          </a:r>
          <a:r>
            <a:rPr lang="en-US" cap="none" sz="900" b="0" i="0" u="none" baseline="0">
              <a:solidFill>
                <a:srgbClr val="000000"/>
              </a:solidFill>
              <a:latin typeface="Calibri"/>
              <a:ea typeface="Calibri"/>
              <a:cs typeface="Calibri"/>
            </a:rPr>
            <a:t>6. Number of clients per server (from Questionnaire tab).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Client patch problem remediation 
</a:t>
          </a:r>
          <a:r>
            <a:rPr lang="en-US" cap="none" sz="900" b="0" i="0" u="none" baseline="0">
              <a:solidFill>
                <a:srgbClr val="000000"/>
              </a:solidFill>
              <a:latin typeface="Calibri"/>
              <a:ea typeface="Calibri"/>
              <a:cs typeface="Calibri"/>
            </a:rPr>
            <a:t>1. Assumes patching problems remediated with either scheduled desk-side visit or by system receiving patches on next connection.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Server patch problem remediation 
</a:t>
          </a:r>
          <a:r>
            <a:rPr lang="en-US" cap="none" sz="900" b="0" i="0" u="none" baseline="0">
              <a:solidFill>
                <a:srgbClr val="000000"/>
              </a:solidFill>
              <a:latin typeface="Calibri"/>
              <a:ea typeface="Calibri"/>
              <a:cs typeface="Calibri"/>
            </a:rPr>
            <a:t>1. Assumes patching problems remediated with either scheduled desk-side visit or by system receiving patches on next connection.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r>
        </a:p>
      </xdr:txBody>
    </xdr:sp>
    <xdr:clientData/>
  </xdr:twoCellAnchor>
  <xdr:twoCellAnchor>
    <xdr:from>
      <xdr:col>5</xdr:col>
      <xdr:colOff>219075</xdr:colOff>
      <xdr:row>8</xdr:row>
      <xdr:rowOff>9525</xdr:rowOff>
    </xdr:from>
    <xdr:to>
      <xdr:col>8</xdr:col>
      <xdr:colOff>771525</xdr:colOff>
      <xdr:row>13</xdr:row>
      <xdr:rowOff>28575</xdr:rowOff>
    </xdr:to>
    <xdr:sp>
      <xdr:nvSpPr>
        <xdr:cNvPr id="2" name="TextBox 3"/>
        <xdr:cNvSpPr txBox="1">
          <a:spLocks noChangeArrowheads="1"/>
        </xdr:cNvSpPr>
      </xdr:nvSpPr>
      <xdr:spPr>
        <a:xfrm>
          <a:off x="4762500" y="1609725"/>
          <a:ext cx="2952750" cy="1600200"/>
        </a:xfrm>
        <a:prstGeom prst="rect">
          <a:avLst/>
        </a:prstGeom>
        <a:solidFill>
          <a:srgbClr val="F2F2F2"/>
        </a:solidFill>
        <a:ln w="9525" cmpd="sng">
          <a:solidFill>
            <a:srgbClr val="BCBCBC"/>
          </a:solidFill>
          <a:headEnd type="none"/>
          <a:tailEnd type="none"/>
        </a:ln>
      </xdr:spPr>
      <xdr:txBody>
        <a:bodyPr vertOverflow="clip" wrap="square" lIns="91440" tIns="45720" rIns="91440" bIns="45720"/>
        <a:p>
          <a:pPr algn="l">
            <a:defRPr/>
          </a:pPr>
          <a:r>
            <a:rPr lang="en-US" cap="none" sz="800" b="1" i="0" u="none" baseline="0">
              <a:solidFill>
                <a:srgbClr val="003366"/>
              </a:solidFill>
              <a:latin typeface="Calibri"/>
              <a:ea typeface="Calibri"/>
              <a:cs typeface="Calibri"/>
            </a:rPr>
            <a:t>Instructions
</a:t>
          </a:r>
          <a:r>
            <a:rPr lang="en-US" cap="none" sz="800" b="0" i="0" u="none" baseline="0">
              <a:solidFill>
                <a:srgbClr val="003366"/>
              </a:solidFill>
              <a:latin typeface="Calibri"/>
              <a:ea typeface="Calibri"/>
              <a:cs typeface="Calibri"/>
            </a:rPr>
            <a:t>You can change any of the numbers in the orange-shaded cells. (Gray cells show results of calculations.)The per-client cost at the top of the page stays in place as you scroll down this tab so you can see how your changes affect results. View more detailed results of your changes on the tables on the Summary tab.
</a:t>
          </a:r>
          <a:r>
            <a:rPr lang="en-US" cap="none" sz="800" b="0" i="0" u="none" baseline="0">
              <a:solidFill>
                <a:srgbClr val="003366"/>
              </a:solidFill>
              <a:latin typeface="Calibri"/>
              <a:ea typeface="Calibri"/>
              <a:cs typeface="Calibri"/>
            </a:rPr>
            <a:t>
</a:t>
          </a:r>
          <a:r>
            <a:rPr lang="en-US" cap="none" sz="800" b="0" i="0" u="none" baseline="0">
              <a:solidFill>
                <a:srgbClr val="003366"/>
              </a:solidFill>
              <a:latin typeface="Calibri"/>
              <a:ea typeface="Calibri"/>
              <a:cs typeface="Calibri"/>
            </a:rPr>
            <a:t>Notes on assumptions and default values appear both at the bottom of this tab and in comment fields.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19050</xdr:colOff>
      <xdr:row>132</xdr:row>
      <xdr:rowOff>66675</xdr:rowOff>
    </xdr:from>
    <xdr:to>
      <xdr:col>8</xdr:col>
      <xdr:colOff>790575</xdr:colOff>
      <xdr:row>160</xdr:row>
      <xdr:rowOff>133350</xdr:rowOff>
    </xdr:to>
    <xdr:sp>
      <xdr:nvSpPr>
        <xdr:cNvPr id="3" name="TextBox 4"/>
        <xdr:cNvSpPr txBox="1">
          <a:spLocks noChangeArrowheads="1"/>
        </xdr:cNvSpPr>
      </xdr:nvSpPr>
      <xdr:spPr>
        <a:xfrm>
          <a:off x="133350" y="33585150"/>
          <a:ext cx="7600950" cy="5400675"/>
        </a:xfrm>
        <a:prstGeom prst="rect">
          <a:avLst/>
        </a:prstGeom>
        <a:solidFill>
          <a:srgbClr val="FFFFFF"/>
        </a:solidFill>
        <a:ln w="9525" cmpd="sng">
          <a:noFill/>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Costs for client software patches and updates tasks 
</a:t>
          </a:r>
          <a:r>
            <a:rPr lang="en-US" cap="none" sz="900" b="0" i="0" u="none" baseline="0">
              <a:solidFill>
                <a:srgbClr val="000000"/>
              </a:solidFill>
              <a:latin typeface="Calibri"/>
              <a:ea typeface="Calibri"/>
              <a:cs typeface="Calibri"/>
            </a:rPr>
            <a:t>1. Source: We based our estimates on numbers in the Novell Automated Patch Management paper. We estimate an average cost per patch distribution for automated research, analysis, testing, and monitoring of 14 hours. Each configuration adds an additional 4 hours. 
</a:t>
          </a:r>
          <a:r>
            <a:rPr lang="en-US" cap="none" sz="900" b="0" i="0" u="none" baseline="0">
              <a:solidFill>
                <a:srgbClr val="000000"/>
              </a:solidFill>
              <a:latin typeface="Calibri"/>
              <a:ea typeface="Calibri"/>
              <a:cs typeface="Calibri"/>
            </a:rPr>
            <a:t>2. Source: The Siemens and Atos Origin white papers and other vPro technology review white papers on the Intel site report patch distribution times of nearly four hours for client counts of 5,000+. We use that time as a base for the initial automated patch distribution time.  
</a:t>
          </a:r>
          <a:r>
            <a:rPr lang="en-US" cap="none" sz="900" b="0" i="0" u="none" baseline="0">
              <a:solidFill>
                <a:srgbClr val="000000"/>
              </a:solidFill>
              <a:latin typeface="Calibri"/>
              <a:ea typeface="Calibri"/>
              <a:cs typeface="Calibri"/>
            </a:rPr>
            <a:t>3. We anticipate minimal lost end-user productivity while patch installs in background while user works. 
</a:t>
          </a:r>
          <a:r>
            <a:rPr lang="en-US" cap="none" sz="900" b="0" i="0" u="none" baseline="0">
              <a:solidFill>
                <a:srgbClr val="000000"/>
              </a:solidFill>
              <a:latin typeface="Calibri"/>
              <a:ea typeface="Calibri"/>
              <a:cs typeface="Calibri"/>
            </a:rPr>
            <a:t>4. Source: We include IT and end-user time for end-user manual installs. The Siemens white paper estimates manual patch install time at one hour while the Novell paper estimates half an hour. We use the average of those estimates. 
</a:t>
          </a:r>
          <a:r>
            <a:rPr lang="en-US" cap="none" sz="900" b="0" i="0" u="none" baseline="0">
              <a:solidFill>
                <a:srgbClr val="000000"/>
              </a:solidFill>
              <a:latin typeface="Calibri"/>
              <a:ea typeface="Calibri"/>
              <a:cs typeface="Calibri"/>
            </a:rPr>
            <a:t>5. Source: In the Technology Evaluation Brief, WM-data Services and PCs with Intel® vPro™ Technology (www.Intel.com), WM-data Services estimates the average cost of a desk-side visit at $150. Visits for patch problem remediation will be lower than average because of economies of scale. Scheduled, off-hours visit costs tend to be lower. Travel time estimates vary widely. We use the one-hour average Siemens reports in its white paper for the unscheduled visit.  
</a:t>
          </a:r>
          <a:r>
            <a:rPr lang="en-US" cap="none" sz="900" b="0" i="0" u="none" baseline="0">
              <a:solidFill>
                <a:srgbClr val="000000"/>
              </a:solidFill>
              <a:latin typeface="Calibri"/>
              <a:ea typeface="Calibri"/>
              <a:cs typeface="Calibri"/>
            </a:rPr>
            <a:t>6. Source: Scheduled visits cost less than unscheduled visits because they can be off hours and because of economies of scale. ATOS estimates 5 minutes per client for off-hours desk-side patching and 30 minutes per client for travel time. Off-hours visits reduce user downtime.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Costs for server software patches and updates tasks
</a:t>
          </a:r>
          <a:r>
            <a:rPr lang="en-US" cap="none" sz="900" b="0" i="0" u="none" baseline="0">
              <a:solidFill>
                <a:srgbClr val="000000"/>
              </a:solidFill>
              <a:latin typeface="Calibri"/>
              <a:ea typeface="Calibri"/>
              <a:cs typeface="Calibri"/>
            </a:rPr>
            <a:t>1. Source: We based our estimates on numbers in the Novell Automated Patch Management paper. We estimate an average cost per patch distribution for automated research, analysis, testing, and monitoring of 14 hours. Each configuration adds an additional 4 hours. 
</a:t>
          </a:r>
          <a:r>
            <a:rPr lang="en-US" cap="none" sz="900" b="0" i="0" u="none" baseline="0">
              <a:solidFill>
                <a:srgbClr val="000000"/>
              </a:solidFill>
              <a:latin typeface="Calibri"/>
              <a:ea typeface="Calibri"/>
              <a:cs typeface="Calibri"/>
            </a:rPr>
            <a:t>2. We assume a two-hour patch distribution time for the centralized servers.
</a:t>
          </a:r>
          <a:r>
            <a:rPr lang="en-US" cap="none" sz="900" b="0" i="0" u="none" baseline="0">
              <a:solidFill>
                <a:srgbClr val="000000"/>
              </a:solidFill>
              <a:latin typeface="Calibri"/>
              <a:ea typeface="Calibri"/>
              <a:cs typeface="Calibri"/>
            </a:rPr>
            <a:t>3. Users will experience some downtime if server load is redistributed over the rest of the servers and if they have to reboot in response to server failures. We assume minimal interruption in user work due to server patching problems for vPro clients because little of their work is server side and more for non-vPro thick clients and thin clients because much of their work is server side.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Annual costs for each patch management task (per patch distribution) 
</a:t>
          </a:r>
          <a:r>
            <a:rPr lang="en-US" cap="none" sz="900" b="0" i="0" u="none" baseline="0">
              <a:solidFill>
                <a:srgbClr val="000000"/>
              </a:solidFill>
              <a:latin typeface="Calibri"/>
              <a:ea typeface="Calibri"/>
              <a:cs typeface="Calibri"/>
            </a:rPr>
            <a:t>1. Patch preparation and testing cost from previous table. Assume server cost is same for all platforms. 
</a:t>
          </a:r>
          <a:r>
            <a:rPr lang="en-US" cap="none" sz="900" b="0" i="0" u="none" baseline="0">
              <a:solidFill>
                <a:srgbClr val="000000"/>
              </a:solidFill>
              <a:latin typeface="Calibri"/>
              <a:ea typeface="Calibri"/>
              <a:cs typeface="Calibri"/>
            </a:rPr>
            <a:t>2. Cost from previous table for this task. 
</a:t>
          </a:r>
          <a:r>
            <a:rPr lang="en-US" cap="none" sz="900" b="0" i="0" u="none" baseline="0">
              <a:solidFill>
                <a:srgbClr val="000000"/>
              </a:solidFill>
              <a:latin typeface="Calibri"/>
              <a:ea typeface="Calibri"/>
              <a:cs typeface="Calibri"/>
            </a:rPr>
            <a:t>3. For remediation tasks, we multiply remediation cost from cost table by number of systems requiring each remediation from the remediation tables.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Patch management task costs 
</a:t>
          </a:r>
          <a:r>
            <a:rPr lang="en-US" cap="none" sz="900" b="0" i="0" u="none" baseline="0">
              <a:solidFill>
                <a:srgbClr val="000000"/>
              </a:solidFill>
              <a:latin typeface="Calibri"/>
              <a:ea typeface="Calibri"/>
              <a:cs typeface="Calibri"/>
            </a:rPr>
            <a:t>1. We sum the client and server patch distribution costs from previous table and multiply that sum by the number of annual patch distributions to get annual costs for all clients. We divide that cost by total number of clients to get per-client cost. 
</a:t>
          </a:r>
          <a:r>
            <a:rPr lang="en-US" cap="none" sz="900" b="0" i="0" u="none" baseline="0">
              <a:solidFill>
                <a:srgbClr val="000000"/>
              </a:solidFill>
              <a:latin typeface="Calibri"/>
              <a:ea typeface="Calibri"/>
              <a:cs typeface="Calibri"/>
            </a:rPr>
            <a:t> </a:t>
          </a:r>
        </a:p>
      </xdr:txBody>
    </xdr:sp>
    <xdr:clientData/>
  </xdr:twoCellAnchor>
  <xdr:twoCellAnchor>
    <xdr:from>
      <xdr:col>1</xdr:col>
      <xdr:colOff>95250</xdr:colOff>
      <xdr:row>92</xdr:row>
      <xdr:rowOff>142875</xdr:rowOff>
    </xdr:from>
    <xdr:to>
      <xdr:col>9</xdr:col>
      <xdr:colOff>114300</xdr:colOff>
      <xdr:row>104</xdr:row>
      <xdr:rowOff>47625</xdr:rowOff>
    </xdr:to>
    <xdr:sp>
      <xdr:nvSpPr>
        <xdr:cNvPr id="4" name="TextBox 2"/>
        <xdr:cNvSpPr txBox="1">
          <a:spLocks noChangeArrowheads="1"/>
        </xdr:cNvSpPr>
      </xdr:nvSpPr>
      <xdr:spPr>
        <a:xfrm>
          <a:off x="209550" y="25879425"/>
          <a:ext cx="7648575" cy="2190750"/>
        </a:xfrm>
        <a:prstGeom prst="rect">
          <a:avLst/>
        </a:prstGeom>
        <a:solidFill>
          <a:srgbClr val="F2F2F2"/>
        </a:solidFill>
        <a:ln w="0" cmpd="sng">
          <a:solidFill>
            <a:srgbClr val="DCE6F2"/>
          </a:solidFill>
          <a:headEnd type="none"/>
          <a:tailEnd type="none"/>
        </a:ln>
      </xdr:spPr>
      <xdr:txBody>
        <a:bodyPr vertOverflow="clip" wrap="square" lIns="91440" tIns="45720" rIns="91440" bIns="45720"/>
        <a:p>
          <a:pPr algn="l">
            <a:defRPr/>
          </a:pPr>
          <a:r>
            <a:rPr lang="en-US" cap="none" sz="900" b="1" i="0" u="none" baseline="0">
              <a:solidFill>
                <a:srgbClr val="003366"/>
              </a:solidFill>
              <a:latin typeface="Calibri"/>
              <a:ea typeface="Calibri"/>
              <a:cs typeface="Calibri"/>
            </a:rPr>
            <a:t>Model description
</a:t>
          </a:r>
          <a:r>
            <a:rPr lang="en-US" cap="none" sz="900" b="0" i="0" u="none" baseline="0">
              <a:solidFill>
                <a:srgbClr val="003366"/>
              </a:solidFill>
              <a:latin typeface="Calibri"/>
              <a:ea typeface="Calibri"/>
              <a:cs typeface="Calibri"/>
            </a:rPr>
            <a:t>The model includes costs for the following patching steps for clients and servers:
Patch preparation and testing
Remote batch patch install
Automatic remote check of patch status each time a client connects
Hands-on end-user manual patch and update install 
Desk-side patching visit by IT staff to remediate patching failures
Hands-on patching of servers
Model assumptions include the following:</a:t>
          </a:r>
          <a:r>
            <a:rPr lang="en-US" cap="none" sz="900" b="1" i="0" u="none" baseline="0">
              <a:solidFill>
                <a:srgbClr val="003366"/>
              </a:solidFill>
              <a:latin typeface="Calibri"/>
              <a:ea typeface="Calibri"/>
              <a:cs typeface="Calibri"/>
            </a:rPr>
            <a:t>
</a:t>
          </a:r>
          <a:r>
            <a:rPr lang="en-US" cap="none" sz="900" b="0" i="0" u="none" baseline="0">
              <a:solidFill>
                <a:srgbClr val="003366"/>
              </a:solidFill>
              <a:latin typeface="Calibri"/>
              <a:ea typeface="Calibri"/>
              <a:cs typeface="Calibri"/>
            </a:rPr>
            <a:t>IT bundles patches and updates and distributes them on a regular basis. 
Some critical patches cannot wait for the next scheduled distributions but require separate distribution. 
We include server application patching as well as client patching in order to include patching tasks related to all applications whether client-side or server-side.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33</xdr:row>
      <xdr:rowOff>161925</xdr:rowOff>
    </xdr:from>
    <xdr:to>
      <xdr:col>8</xdr:col>
      <xdr:colOff>800100</xdr:colOff>
      <xdr:row>37</xdr:row>
      <xdr:rowOff>95250</xdr:rowOff>
    </xdr:to>
    <xdr:sp>
      <xdr:nvSpPr>
        <xdr:cNvPr id="1" name="TextBox 2"/>
        <xdr:cNvSpPr txBox="1">
          <a:spLocks noChangeArrowheads="1"/>
        </xdr:cNvSpPr>
      </xdr:nvSpPr>
      <xdr:spPr>
        <a:xfrm>
          <a:off x="133350" y="8115300"/>
          <a:ext cx="8115300" cy="695325"/>
        </a:xfrm>
        <a:prstGeom prst="rect">
          <a:avLst/>
        </a:prstGeom>
        <a:solidFill>
          <a:srgbClr val="F2F2F2"/>
        </a:solidFill>
        <a:ln w="0" cmpd="sng">
          <a:solidFill>
            <a:srgbClr val="DCE6F2"/>
          </a:solidFill>
          <a:headEnd type="none"/>
          <a:tailEnd type="none"/>
        </a:ln>
      </xdr:spPr>
      <xdr:txBody>
        <a:bodyPr vertOverflow="clip" wrap="square" lIns="91440" tIns="45720" rIns="91440" bIns="45720"/>
        <a:p>
          <a:pPr algn="l">
            <a:defRPr/>
          </a:pPr>
          <a:r>
            <a:rPr lang="en-US" cap="none" sz="900" b="1" i="0" u="none" baseline="0">
              <a:solidFill>
                <a:srgbClr val="003366"/>
              </a:solidFill>
              <a:latin typeface="Calibri"/>
              <a:ea typeface="Calibri"/>
              <a:cs typeface="Calibri"/>
            </a:rPr>
            <a:t>Model description</a:t>
          </a:r>
          <a:r>
            <a:rPr lang="en-US" cap="none" sz="900" b="0" i="0" u="none" baseline="0">
              <a:solidFill>
                <a:srgbClr val="003366"/>
              </a:solidFill>
              <a:latin typeface="Calibri"/>
              <a:ea typeface="Calibri"/>
              <a:cs typeface="Calibri"/>
            </a:rPr>
            <a:t>
</a:t>
          </a:r>
          <a:r>
            <a:rPr lang="en-US" cap="none" sz="900" b="0" i="0" u="none" baseline="0">
              <a:solidFill>
                <a:srgbClr val="003366"/>
              </a:solidFill>
              <a:latin typeface="Calibri"/>
              <a:ea typeface="Calibri"/>
              <a:cs typeface="Calibri"/>
            </a:rPr>
            <a:t>Patching,</a:t>
          </a:r>
          <a:r>
            <a:rPr lang="en-US" cap="none" sz="900" b="0" i="0" u="none" baseline="0">
              <a:solidFill>
                <a:srgbClr val="003366"/>
              </a:solidFill>
              <a:latin typeface="Calibri"/>
              <a:ea typeface="Calibri"/>
              <a:cs typeface="Calibri"/>
            </a:rPr>
            <a:t> support, MAD, compliance, and security all rely on accurate and timely asset inventories. </a:t>
          </a:r>
          <a:r>
            <a:rPr lang="en-US" cap="none" sz="900" b="0" i="0" u="none" baseline="0">
              <a:solidFill>
                <a:srgbClr val="003366"/>
              </a:solidFill>
              <a:latin typeface="Calibri"/>
              <a:ea typeface="Calibri"/>
              <a:cs typeface="Calibri"/>
            </a:rPr>
            <a:t>The model tracks</a:t>
          </a:r>
          <a:r>
            <a:rPr lang="en-US" cap="none" sz="900" b="0" i="0" u="none" baseline="0">
              <a:solidFill>
                <a:srgbClr val="003366"/>
              </a:solidFill>
              <a:latin typeface="Calibri"/>
              <a:ea typeface="Calibri"/>
              <a:cs typeface="Calibri"/>
            </a:rPr>
            <a:t> </a:t>
          </a:r>
          <a:r>
            <a:rPr lang="en-US" cap="none" sz="900" b="0" i="0" u="none" baseline="0">
              <a:solidFill>
                <a:srgbClr val="003366"/>
              </a:solidFill>
              <a:latin typeface="Calibri"/>
              <a:ea typeface="Calibri"/>
              <a:cs typeface="Calibri"/>
            </a:rPr>
            <a:t>costs for two asset inventory scenarios:
</a:t>
          </a:r>
          <a:r>
            <a:rPr lang="en-US" cap="none" sz="900" b="0" i="0" u="none" baseline="0">
              <a:solidFill>
                <a:srgbClr val="003366"/>
              </a:solidFill>
              <a:latin typeface="Calibri"/>
              <a:ea typeface="Calibri"/>
              <a:cs typeface="Calibri"/>
            </a:rPr>
            <a:t>Remote asset inventory
</a:t>
          </a:r>
          <a:r>
            <a:rPr lang="en-US" cap="none" sz="900" b="0" i="0" u="none" baseline="0">
              <a:solidFill>
                <a:srgbClr val="003366"/>
              </a:solidFill>
              <a:latin typeface="Calibri"/>
              <a:ea typeface="Calibri"/>
              <a:cs typeface="Calibri"/>
            </a:rPr>
            <a:t>Manual inventory of</a:t>
          </a:r>
          <a:r>
            <a:rPr lang="en-US" cap="none" sz="900" b="0" i="0" u="none" baseline="0">
              <a:solidFill>
                <a:srgbClr val="003366"/>
              </a:solidFill>
              <a:latin typeface="Calibri"/>
              <a:ea typeface="Calibri"/>
              <a:cs typeface="Calibri"/>
            </a:rPr>
            <a:t> systems missed in remote inventory</a:t>
          </a:r>
          <a:r>
            <a:rPr lang="en-US" cap="none" sz="900" b="0" i="0" u="none" baseline="0">
              <a:solidFill>
                <a:srgbClr val="003366"/>
              </a:solidFill>
              <a:latin typeface="Calibri"/>
              <a:ea typeface="Calibri"/>
              <a:cs typeface="Calibri"/>
            </a:rPr>
            <a:t>
</a:t>
          </a:r>
          <a:r>
            <a:rPr lang="en-US" cap="none" sz="1000" b="0" i="0" u="none" baseline="0">
              <a:solidFill>
                <a:srgbClr val="003366"/>
              </a:solidFill>
              <a:latin typeface="Calibri"/>
              <a:ea typeface="Calibri"/>
              <a:cs typeface="Calibri"/>
            </a:rPr>
            <a:t>
</a:t>
          </a:r>
        </a:p>
      </xdr:txBody>
    </xdr:sp>
    <xdr:clientData/>
  </xdr:twoCellAnchor>
  <xdr:twoCellAnchor>
    <xdr:from>
      <xdr:col>6</xdr:col>
      <xdr:colOff>752475</xdr:colOff>
      <xdr:row>6</xdr:row>
      <xdr:rowOff>114300</xdr:rowOff>
    </xdr:from>
    <xdr:to>
      <xdr:col>9</xdr:col>
      <xdr:colOff>9525</xdr:colOff>
      <xdr:row>17</xdr:row>
      <xdr:rowOff>133350</xdr:rowOff>
    </xdr:to>
    <xdr:sp>
      <xdr:nvSpPr>
        <xdr:cNvPr id="2" name="TextBox 5"/>
        <xdr:cNvSpPr txBox="1">
          <a:spLocks noChangeArrowheads="1"/>
        </xdr:cNvSpPr>
      </xdr:nvSpPr>
      <xdr:spPr>
        <a:xfrm>
          <a:off x="6648450" y="1752600"/>
          <a:ext cx="1609725" cy="2524125"/>
        </a:xfrm>
        <a:prstGeom prst="rect">
          <a:avLst/>
        </a:prstGeom>
        <a:solidFill>
          <a:srgbClr val="F2F2F2"/>
        </a:solidFill>
        <a:ln w="9525" cmpd="sng">
          <a:solidFill>
            <a:srgbClr val="BCBCBC"/>
          </a:solidFill>
          <a:headEnd type="none"/>
          <a:tailEnd type="none"/>
        </a:ln>
      </xdr:spPr>
      <xdr:txBody>
        <a:bodyPr vertOverflow="clip" wrap="square" lIns="91440" tIns="45720" rIns="91440" bIns="45720"/>
        <a:p>
          <a:pPr algn="l">
            <a:defRPr/>
          </a:pPr>
          <a:r>
            <a:rPr lang="en-US" cap="none" sz="800" b="1" i="0" u="none" baseline="0">
              <a:solidFill>
                <a:srgbClr val="003366"/>
              </a:solidFill>
              <a:latin typeface="Calibri"/>
              <a:ea typeface="Calibri"/>
              <a:cs typeface="Calibri"/>
            </a:rPr>
            <a:t>Instructions
</a:t>
          </a:r>
          <a:r>
            <a:rPr lang="en-US" cap="none" sz="800" b="0" i="0" u="none" baseline="0">
              <a:solidFill>
                <a:srgbClr val="003366"/>
              </a:solidFill>
              <a:latin typeface="Calibri"/>
              <a:ea typeface="Calibri"/>
              <a:cs typeface="Calibri"/>
            </a:rPr>
            <a:t>You can change any of the numbers in the orange-shaded cells. (Gray cells show results of calculations.)The per-client cost at the top of the page stays in place as you scroll down this tab so you can see how your changes affect results. View more detailed results of your changes on the tables on the Summary tab.
</a:t>
          </a:r>
          <a:r>
            <a:rPr lang="en-US" cap="none" sz="800" b="0" i="0" u="none" baseline="0">
              <a:solidFill>
                <a:srgbClr val="003366"/>
              </a:solidFill>
              <a:latin typeface="Calibri"/>
              <a:ea typeface="Calibri"/>
              <a:cs typeface="Calibri"/>
            </a:rPr>
            <a:t>
</a:t>
          </a:r>
          <a:r>
            <a:rPr lang="en-US" cap="none" sz="800" b="0" i="0" u="none" baseline="0">
              <a:solidFill>
                <a:srgbClr val="000080"/>
              </a:solidFill>
              <a:latin typeface="Calibri"/>
              <a:ea typeface="Calibri"/>
              <a:cs typeface="Calibri"/>
            </a:rPr>
            <a:t>Notes on assumptions and default values appear both at the bottom of this tab and in comment </a:t>
          </a:r>
          <a:r>
            <a:rPr lang="en-US" cap="none" sz="800" b="0" i="0" u="none" baseline="0">
              <a:solidFill>
                <a:srgbClr val="000080"/>
              </a:solidFill>
              <a:latin typeface="Calibri"/>
              <a:ea typeface="Calibri"/>
              <a:cs typeface="Calibri"/>
            </a:rPr>
            <a:t>fields</a:t>
          </a:r>
          <a:r>
            <a:rPr lang="en-US" cap="none" sz="800" b="0" i="0" u="none" baseline="0">
              <a:solidFill>
                <a:srgbClr val="000080"/>
              </a:solidFill>
              <a:latin typeface="Calibri"/>
              <a:ea typeface="Calibri"/>
              <a:cs typeface="Calibri"/>
            </a:rPr>
            <a:t>.</a:t>
          </a:r>
        </a:p>
      </xdr:txBody>
    </xdr:sp>
    <xdr:clientData/>
  </xdr:twoCellAnchor>
  <xdr:twoCellAnchor>
    <xdr:from>
      <xdr:col>1</xdr:col>
      <xdr:colOff>9525</xdr:colOff>
      <xdr:row>39</xdr:row>
      <xdr:rowOff>0</xdr:rowOff>
    </xdr:from>
    <xdr:to>
      <xdr:col>9</xdr:col>
      <xdr:colOff>0</xdr:colOff>
      <xdr:row>52</xdr:row>
      <xdr:rowOff>38100</xdr:rowOff>
    </xdr:to>
    <xdr:sp>
      <xdr:nvSpPr>
        <xdr:cNvPr id="3" name="TextBox 3"/>
        <xdr:cNvSpPr txBox="1">
          <a:spLocks noChangeArrowheads="1"/>
        </xdr:cNvSpPr>
      </xdr:nvSpPr>
      <xdr:spPr>
        <a:xfrm>
          <a:off x="123825" y="9096375"/>
          <a:ext cx="8124825" cy="2514600"/>
        </a:xfrm>
        <a:prstGeom prst="rect">
          <a:avLst/>
        </a:prstGeom>
        <a:solidFill>
          <a:srgbClr val="FFFFFF"/>
        </a:solidFill>
        <a:ln w="9525" cmpd="sng">
          <a:noFill/>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Sources
</a:t>
          </a:r>
          <a:r>
            <a:rPr lang="en-US" cap="none" sz="900" b="0" i="0" u="none" baseline="0">
              <a:solidFill>
                <a:srgbClr val="000000"/>
              </a:solidFill>
              <a:latin typeface="Calibri"/>
              <a:ea typeface="Calibri"/>
              <a:cs typeface="Calibri"/>
            </a:rPr>
            <a:t>Measuring the Value of Intel® vPro™ Technology in the Enterprise, Wipro Ltd. (2006).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Notes on default values
</a:t>
          </a:r>
          <a:r>
            <a:rPr lang="en-US" cap="none" sz="900" b="1" i="0" u="none" baseline="0">
              <a:solidFill>
                <a:srgbClr val="000000"/>
              </a:solidFill>
              <a:latin typeface="Calibri"/>
              <a:ea typeface="Calibri"/>
              <a:cs typeface="Calibri"/>
            </a:rPr>
            <a:t>Clients inventories by asset inventory scenario
</a:t>
          </a:r>
          <a:r>
            <a:rPr lang="en-US" cap="none" sz="900" b="0" i="0" u="none" baseline="0">
              <a:solidFill>
                <a:srgbClr val="000000"/>
              </a:solidFill>
              <a:latin typeface="Calibri"/>
              <a:ea typeface="Calibri"/>
              <a:cs typeface="Calibri"/>
            </a:rPr>
            <a:t>1. The success rate of remote asset inventory values from the Questionnaire tab.
</a:t>
          </a:r>
          <a:r>
            <a:rPr lang="en-US" cap="none" sz="900" b="0" i="0" u="none" baseline="0">
              <a:solidFill>
                <a:srgbClr val="000000"/>
              </a:solidFill>
              <a:latin typeface="Calibri"/>
              <a:ea typeface="Calibri"/>
              <a:cs typeface="Calibri"/>
            </a:rPr>
            <a:t>2. 100 percent minus the values in the previous row. We assume systems that fail remote asset inventory require manual inventory.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Costs for asset inventory scenarios
</a:t>
          </a:r>
          <a:r>
            <a:rPr lang="en-US" cap="none" sz="900" b="0" i="0" u="none" baseline="0">
              <a:solidFill>
                <a:srgbClr val="000000"/>
              </a:solidFill>
              <a:latin typeface="Calibri"/>
              <a:ea typeface="Calibri"/>
              <a:cs typeface="Calibri"/>
            </a:rPr>
            <a:t>1. Assumes 30 minutes of level 2 (mid-level) staff time to complete an enterprise-wide asset audit using automated management tools. Costs would normally be the same for all three platforms.
</a:t>
          </a:r>
          <a:r>
            <a:rPr lang="en-US" cap="none" sz="900" b="0" i="0" u="none" baseline="0">
              <a:solidFill>
                <a:srgbClr val="000000"/>
              </a:solidFill>
              <a:latin typeface="Calibri"/>
              <a:ea typeface="Calibri"/>
              <a:cs typeface="Calibri"/>
            </a:rPr>
            <a:t>2. Assumes 28 minutes desk side for rich clients and 5 minutes for thin. Thin clients are faster to audit because there is less hardware and software desk side to audit. The 28-minute estimate is based on data in the Case Studies with Intel vPro Processor technology report. We allow 10 minutes travel time to audit each client. Travel time is low because staff should be able to inventory multiple systems per visit.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7</xdr:row>
      <xdr:rowOff>180975</xdr:rowOff>
    </xdr:from>
    <xdr:to>
      <xdr:col>9</xdr:col>
      <xdr:colOff>0</xdr:colOff>
      <xdr:row>17</xdr:row>
      <xdr:rowOff>85725</xdr:rowOff>
    </xdr:to>
    <xdr:sp>
      <xdr:nvSpPr>
        <xdr:cNvPr id="1" name="TextBox 3"/>
        <xdr:cNvSpPr txBox="1">
          <a:spLocks noChangeArrowheads="1"/>
        </xdr:cNvSpPr>
      </xdr:nvSpPr>
      <xdr:spPr>
        <a:xfrm>
          <a:off x="6038850" y="1838325"/>
          <a:ext cx="1562100" cy="2905125"/>
        </a:xfrm>
        <a:prstGeom prst="rect">
          <a:avLst/>
        </a:prstGeom>
        <a:solidFill>
          <a:srgbClr val="F2F2F2"/>
        </a:solidFill>
        <a:ln w="9525" cmpd="sng">
          <a:solidFill>
            <a:srgbClr val="BCBCBC"/>
          </a:solidFill>
          <a:headEnd type="none"/>
          <a:tailEnd type="none"/>
        </a:ln>
      </xdr:spPr>
      <xdr:txBody>
        <a:bodyPr vertOverflow="clip" wrap="square" lIns="91440" tIns="45720" rIns="91440" bIns="45720"/>
        <a:p>
          <a:pPr algn="l">
            <a:defRPr/>
          </a:pPr>
          <a:r>
            <a:rPr lang="en-US" cap="none" sz="800" b="1" i="0" u="none" baseline="0">
              <a:solidFill>
                <a:srgbClr val="003366"/>
              </a:solidFill>
              <a:latin typeface="Calibri"/>
              <a:ea typeface="Calibri"/>
              <a:cs typeface="Calibri"/>
            </a:rPr>
            <a:t>Instructions
</a:t>
          </a:r>
          <a:r>
            <a:rPr lang="en-US" cap="none" sz="800" b="0" i="0" u="none" baseline="0">
              <a:solidFill>
                <a:srgbClr val="003366"/>
              </a:solidFill>
              <a:latin typeface="Calibri"/>
              <a:ea typeface="Calibri"/>
              <a:cs typeface="Calibri"/>
            </a:rPr>
            <a:t>You can change any of the numbers in the orange-shaded cells. (Gray cells show results of calculations.)The per-client cost at the top of the page stays in place as you scroll down this tab so you can see how your changes affect results. View more detailed results of your changes on the tables on the Summary tab.
</a:t>
          </a:r>
          <a:r>
            <a:rPr lang="en-US" cap="none" sz="800" b="0" i="0" u="none" baseline="0">
              <a:solidFill>
                <a:srgbClr val="003366"/>
              </a:solidFill>
              <a:latin typeface="Calibri"/>
              <a:ea typeface="Calibri"/>
              <a:cs typeface="Calibri"/>
            </a:rPr>
            <a:t>
</a:t>
          </a:r>
          <a:r>
            <a:rPr lang="en-US" cap="none" sz="800" b="0" i="0" u="none" baseline="0">
              <a:solidFill>
                <a:srgbClr val="000080"/>
              </a:solidFill>
              <a:latin typeface="Calibri"/>
              <a:ea typeface="Calibri"/>
              <a:cs typeface="Calibri"/>
            </a:rPr>
            <a:t>Notes on assumptions and default values appear both at the bottom of this tab and in comment fields.</a:t>
          </a:r>
          <a:r>
            <a:rPr lang="en-US" cap="none" sz="800" b="0" i="0" u="none" baseline="0">
              <a:solidFill>
                <a:srgbClr val="00008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0</xdr:colOff>
      <xdr:row>51</xdr:row>
      <xdr:rowOff>0</xdr:rowOff>
    </xdr:from>
    <xdr:to>
      <xdr:col>8</xdr:col>
      <xdr:colOff>19050</xdr:colOff>
      <xdr:row>56</xdr:row>
      <xdr:rowOff>123825</xdr:rowOff>
    </xdr:to>
    <xdr:sp>
      <xdr:nvSpPr>
        <xdr:cNvPr id="2" name="TextBox 6"/>
        <xdr:cNvSpPr txBox="1">
          <a:spLocks noChangeArrowheads="1"/>
        </xdr:cNvSpPr>
      </xdr:nvSpPr>
      <xdr:spPr>
        <a:xfrm>
          <a:off x="114300" y="15544800"/>
          <a:ext cx="6686550" cy="1076325"/>
        </a:xfrm>
        <a:prstGeom prst="rect">
          <a:avLst/>
        </a:prstGeom>
        <a:solidFill>
          <a:srgbClr val="F2F2F2"/>
        </a:solidFill>
        <a:ln w="0" cmpd="sng">
          <a:solidFill>
            <a:srgbClr val="DCE6F2"/>
          </a:solidFill>
          <a:headEnd type="none"/>
          <a:tailEnd type="none"/>
        </a:ln>
      </xdr:spPr>
      <xdr:txBody>
        <a:bodyPr vertOverflow="clip" wrap="square" lIns="91440" tIns="45720" rIns="91440" bIns="45720"/>
        <a:p>
          <a:pPr algn="l">
            <a:defRPr/>
          </a:pPr>
          <a:r>
            <a:rPr lang="en-US" cap="none" sz="900" b="1" i="0" u="none" baseline="0">
              <a:solidFill>
                <a:srgbClr val="003366"/>
              </a:solidFill>
              <a:latin typeface="Calibri"/>
              <a:ea typeface="Calibri"/>
              <a:cs typeface="Calibri"/>
            </a:rPr>
            <a:t>Model Description
</a:t>
          </a:r>
          <a:r>
            <a:rPr lang="en-US" cap="none" sz="900" b="0" i="0" u="none" baseline="0">
              <a:solidFill>
                <a:srgbClr val="003366"/>
              </a:solidFill>
              <a:latin typeface="Calibri"/>
              <a:ea typeface="Calibri"/>
              <a:cs typeface="Calibri"/>
            </a:rPr>
            <a:t>The model tracks costs for four help desk and support problem resolution scenarios:
</a:t>
          </a:r>
          <a:r>
            <a:rPr lang="en-US" cap="none" sz="900" b="0" i="0" u="none" baseline="0">
              <a:solidFill>
                <a:srgbClr val="003366"/>
              </a:solidFill>
              <a:latin typeface="Calibri"/>
              <a:ea typeface="Calibri"/>
              <a:cs typeface="Calibri"/>
            </a:rPr>
            <a:t>Problem resolved remotely in first call
</a:t>
          </a:r>
          <a:r>
            <a:rPr lang="en-US" cap="none" sz="900" b="0" i="0" u="none" baseline="0">
              <a:solidFill>
                <a:srgbClr val="003366"/>
              </a:solidFill>
              <a:latin typeface="Calibri"/>
              <a:ea typeface="Calibri"/>
              <a:cs typeface="Calibri"/>
            </a:rPr>
            <a:t>Problem resolved remotely in second call 
</a:t>
          </a:r>
          <a:r>
            <a:rPr lang="en-US" cap="none" sz="900" b="0" i="0" u="none" baseline="0">
              <a:solidFill>
                <a:srgbClr val="003366"/>
              </a:solidFill>
              <a:latin typeface="Calibri"/>
              <a:ea typeface="Calibri"/>
              <a:cs typeface="Calibri"/>
            </a:rPr>
            <a:t>Problem resolved with one or more desk-side visits
</a:t>
          </a:r>
          <a:r>
            <a:rPr lang="en-US" cap="none" sz="900" b="0" i="0" u="none" baseline="0">
              <a:solidFill>
                <a:srgbClr val="003366"/>
              </a:solidFill>
              <a:latin typeface="Calibri"/>
              <a:ea typeface="Calibri"/>
              <a:cs typeface="Calibri"/>
            </a:rPr>
            <a:t>Problem resolved with user hardware swap and return and IT remote reimage </a:t>
          </a:r>
        </a:p>
      </xdr:txBody>
    </xdr:sp>
    <xdr:clientData/>
  </xdr:twoCellAnchor>
  <xdr:twoCellAnchor>
    <xdr:from>
      <xdr:col>1</xdr:col>
      <xdr:colOff>38100</xdr:colOff>
      <xdr:row>57</xdr:row>
      <xdr:rowOff>152400</xdr:rowOff>
    </xdr:from>
    <xdr:to>
      <xdr:col>8</xdr:col>
      <xdr:colOff>666750</xdr:colOff>
      <xdr:row>90</xdr:row>
      <xdr:rowOff>114300</xdr:rowOff>
    </xdr:to>
    <xdr:sp>
      <xdr:nvSpPr>
        <xdr:cNvPr id="3" name="TextBox 4"/>
        <xdr:cNvSpPr txBox="1">
          <a:spLocks noChangeArrowheads="1"/>
        </xdr:cNvSpPr>
      </xdr:nvSpPr>
      <xdr:spPr>
        <a:xfrm>
          <a:off x="152400" y="16840200"/>
          <a:ext cx="7296150" cy="6248400"/>
        </a:xfrm>
        <a:prstGeom prst="rect">
          <a:avLst/>
        </a:prstGeom>
        <a:solidFill>
          <a:srgbClr val="FFFFFF"/>
        </a:solidFill>
        <a:ln w="9525" cmpd="sng">
          <a:noFill/>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Sources
</a:t>
          </a:r>
          <a:r>
            <a:rPr lang="en-US" cap="none" sz="900" b="0" i="0" u="none" baseline="0">
              <a:solidFill>
                <a:srgbClr val="000000"/>
              </a:solidFill>
              <a:latin typeface="Calibri"/>
              <a:ea typeface="Calibri"/>
              <a:cs typeface="Calibri"/>
            </a:rPr>
            <a:t>Case Studies with Intel® vPro™ processor technology An Analysis of Early Testing of Intel® vPro™ processor technology in Large IT Departments, 2007 (http://www.intel.com/business/casestudies/intel_case_studies.pdf)
Managing Training Rooms with Intel® vPro™ Processor Technology , 2007 (http://www.intel.com/it/pdf/managing-training-rooms-with-intel-vpro-processor-technology.pdf)
</a:t>
          </a:r>
          <a:r>
            <a:rPr lang="en-US" cap="none" sz="900" b="1" i="0" u="none" baseline="0">
              <a:solidFill>
                <a:srgbClr val="000000"/>
              </a:solidFill>
              <a:latin typeface="Calibri"/>
              <a:ea typeface="Calibri"/>
              <a:cs typeface="Calibri"/>
            </a:rPr>
            <a:t>Notes on default values
Software problems resolved by type of response scenario
</a:t>
          </a:r>
          <a:r>
            <a:rPr lang="en-US" cap="none" sz="900" b="0" i="0" u="none" baseline="0">
              <a:solidFill>
                <a:srgbClr val="000000"/>
              </a:solidFill>
              <a:latin typeface="Calibri"/>
              <a:ea typeface="Calibri"/>
              <a:cs typeface="Calibri"/>
            </a:rPr>
            <a:t>1. Source: The Case Studies with Intel vPro processor technology report shows 14 percent of software problems receiving a desktop visit.  
2. Our estimate of call volume.
3. Our estimate of desk-side visit needs.
4. We assume no software problems require the user to swap the client hardware. 
</a:t>
          </a:r>
          <a:r>
            <a:rPr lang="en-US" cap="none" sz="900" b="1" i="0" u="none" baseline="0">
              <a:solidFill>
                <a:srgbClr val="000000"/>
              </a:solidFill>
              <a:latin typeface="Calibri"/>
              <a:ea typeface="Calibri"/>
              <a:cs typeface="Calibri"/>
            </a:rPr>
            <a:t>Hardware problems resolved by type of response scenario
</a:t>
          </a:r>
          <a:r>
            <a:rPr lang="en-US" cap="none" sz="900" b="0" i="0" u="none" baseline="0">
              <a:solidFill>
                <a:srgbClr val="000000"/>
              </a:solidFill>
              <a:latin typeface="Calibri"/>
              <a:ea typeface="Calibri"/>
              <a:cs typeface="Calibri"/>
            </a:rPr>
            <a:t>1. In a well-managed enterprise, hardware problems usually require only one desktop visit. Additional visits are required if the help desk is unable to poll the client or in cases when the remote problem diagnosis was incorrect and IT needs to install additional or different parts than originally specified. 
2. Our estimate of call volume. 
3. Our estimate of desk-side visit needs. 
4. We assume some instances where it will be more efficient for the user to swap the client hardware than to wait for repair. 
</a:t>
          </a:r>
          <a:r>
            <a:rPr lang="en-US" cap="none" sz="900" b="1" i="0" u="none" baseline="0">
              <a:solidFill>
                <a:srgbClr val="000000"/>
              </a:solidFill>
              <a:latin typeface="Calibri"/>
              <a:ea typeface="Calibri"/>
              <a:cs typeface="Calibri"/>
            </a:rPr>
            <a:t>Costs for help desk problem resolution scenarios (per incident)
</a:t>
          </a:r>
          <a:r>
            <a:rPr lang="en-US" cap="none" sz="900" b="0" i="0" u="none" baseline="0">
              <a:solidFill>
                <a:srgbClr val="000000"/>
              </a:solidFill>
              <a:latin typeface="Calibri"/>
              <a:ea typeface="Calibri"/>
              <a:cs typeface="Calibri"/>
            </a:rPr>
            <a:t>1. We assume a help desk with three levels of support. First level support staff answer initial call. If they cannot solve the problem quickly, they bump it up to more technical second level support. If they can't resolve problem, either a desk-side visit is scheduled or the technician walks the client through a hardware swap and the technician uses management software to install an image on the client. 
2. Our estimate of the success rate of 2nd level in solving the problem without needing to schedule a reimage or desk-side visit. 
3. Our estimate of desk-side visit costs. The biggest factors in these costs tend to be travel time for support staff and user downtime. The Case Studies with Intel vPro Technology paper calculates wide ranges for downtime reporting average user downtime, software issue, onsite (minutes) is 19 for vPro clients. Average user downtime, software issue, remote (minutes) is 18.75 for vPro clients. Average user downtime, hardware issue, onsite (minutes) is 365 for vPro clients. Average user downtime, hardware issue, remote (minutes) is 995 for vPro clients. We assume our well-managed clients will beat the estimate in this paper. 
4. The EDS paper shows 75 minutes for a build for rich clients. The Intel Training white paper estimates 45-60 minutes for a build. Thin clients take less time to build because they have less software. User downtime includes that time plus time for the initial help desk plus some time to swap the hardware. 
</a:t>
          </a:r>
          <a:r>
            <a:rPr lang="en-US" cap="none" sz="900" b="1" i="0" u="none" baseline="0">
              <a:solidFill>
                <a:srgbClr val="000000"/>
              </a:solidFill>
              <a:latin typeface="Calibri"/>
              <a:ea typeface="Calibri"/>
              <a:cs typeface="Calibri"/>
            </a:rPr>
            <a:t>Help desk support and services tasks costs</a:t>
          </a:r>
          <a:r>
            <a:rPr lang="en-US" cap="none" sz="900" b="0" i="0" u="none" baseline="0">
              <a:solidFill>
                <a:srgbClr val="000000"/>
              </a:solidFill>
              <a:latin typeface="Calibri"/>
              <a:ea typeface="Calibri"/>
              <a:cs typeface="Calibri"/>
            </a:rPr>
            <a:t>
1. Annual costs calculated by multiplying the total cost of the response scenario from the previous table by the sum of the hardware problems resolved and software problems resolved by this response scenario from the previous two tables. The annual per-client cost figure is the annual cost for all 8,000 clients from the columns at the right divided by the total number of clients.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47</xdr:row>
      <xdr:rowOff>19050</xdr:rowOff>
    </xdr:from>
    <xdr:to>
      <xdr:col>8</xdr:col>
      <xdr:colOff>571500</xdr:colOff>
      <xdr:row>55</xdr:row>
      <xdr:rowOff>0</xdr:rowOff>
    </xdr:to>
    <xdr:sp>
      <xdr:nvSpPr>
        <xdr:cNvPr id="1" name="TextBox 3"/>
        <xdr:cNvSpPr txBox="1">
          <a:spLocks noChangeArrowheads="1"/>
        </xdr:cNvSpPr>
      </xdr:nvSpPr>
      <xdr:spPr>
        <a:xfrm>
          <a:off x="123825" y="11001375"/>
          <a:ext cx="8239125" cy="1504950"/>
        </a:xfrm>
        <a:prstGeom prst="rect">
          <a:avLst/>
        </a:prstGeom>
        <a:solidFill>
          <a:srgbClr val="F2F2F2"/>
        </a:solidFill>
        <a:ln w="0" cmpd="sng">
          <a:solidFill>
            <a:srgbClr val="DCE6F2"/>
          </a:solidFill>
          <a:headEnd type="none"/>
          <a:tailEnd type="none"/>
        </a:ln>
      </xdr:spPr>
      <xdr:txBody>
        <a:bodyPr vertOverflow="clip" wrap="square" lIns="91440" tIns="45720" rIns="91440" bIns="45720"/>
        <a:p>
          <a:pPr algn="l">
            <a:defRPr/>
          </a:pPr>
          <a:r>
            <a:rPr lang="en-US" cap="none" sz="900" b="1" i="0" u="none" baseline="0">
              <a:solidFill>
                <a:srgbClr val="003366"/>
              </a:solidFill>
              <a:latin typeface="Calibri"/>
              <a:ea typeface="Calibri"/>
              <a:cs typeface="Calibri"/>
            </a:rPr>
            <a:t>M</a:t>
          </a:r>
          <a:r>
            <a:rPr lang="en-US" cap="none" sz="900" b="0" i="0" u="none" baseline="0">
              <a:solidFill>
                <a:srgbClr val="003366"/>
              </a:solidFill>
              <a:latin typeface="Calibri"/>
              <a:ea typeface="Calibri"/>
              <a:cs typeface="Calibri"/>
            </a:rPr>
            <a:t>odel description
The model includes costs for the following move, add, delete (MAD) steps:
Ordering and deploying hardware (moves and adds)
Image loading (moves and adds)
Application loading (moves and adds)
User state migration (moves and adds)
Installing agents and shipping system (moves and adds)
Disposal (deletes)
IT incurs additional costs if any of these tasks must be done on site.</a:t>
          </a:r>
        </a:p>
      </xdr:txBody>
    </xdr:sp>
    <xdr:clientData/>
  </xdr:twoCellAnchor>
  <xdr:twoCellAnchor>
    <xdr:from>
      <xdr:col>7</xdr:col>
      <xdr:colOff>9525</xdr:colOff>
      <xdr:row>8</xdr:row>
      <xdr:rowOff>0</xdr:rowOff>
    </xdr:from>
    <xdr:to>
      <xdr:col>9</xdr:col>
      <xdr:colOff>0</xdr:colOff>
      <xdr:row>19</xdr:row>
      <xdr:rowOff>85725</xdr:rowOff>
    </xdr:to>
    <xdr:sp>
      <xdr:nvSpPr>
        <xdr:cNvPr id="2" name="TextBox 5"/>
        <xdr:cNvSpPr txBox="1">
          <a:spLocks noChangeArrowheads="1"/>
        </xdr:cNvSpPr>
      </xdr:nvSpPr>
      <xdr:spPr>
        <a:xfrm>
          <a:off x="7010400" y="1924050"/>
          <a:ext cx="1628775" cy="2638425"/>
        </a:xfrm>
        <a:prstGeom prst="rect">
          <a:avLst/>
        </a:prstGeom>
        <a:solidFill>
          <a:srgbClr val="F2F2F2"/>
        </a:solidFill>
        <a:ln w="9525" cmpd="sng">
          <a:solidFill>
            <a:srgbClr val="BCBCBC"/>
          </a:solidFill>
          <a:headEnd type="none"/>
          <a:tailEnd type="none"/>
        </a:ln>
      </xdr:spPr>
      <xdr:txBody>
        <a:bodyPr vertOverflow="clip" wrap="square" lIns="91440" tIns="45720" rIns="91440" bIns="45720"/>
        <a:p>
          <a:pPr algn="l">
            <a:defRPr/>
          </a:pPr>
          <a:r>
            <a:rPr lang="en-US" cap="none" sz="800" b="1" i="0" u="none" baseline="0">
              <a:solidFill>
                <a:srgbClr val="003366"/>
              </a:solidFill>
              <a:latin typeface="Calibri"/>
              <a:ea typeface="Calibri"/>
              <a:cs typeface="Calibri"/>
            </a:rPr>
            <a:t>Instructions</a:t>
          </a:r>
          <a:r>
            <a:rPr lang="en-US" cap="none" sz="800" b="0" i="0" u="none" baseline="0">
              <a:solidFill>
                <a:srgbClr val="003366"/>
              </a:solidFill>
              <a:latin typeface="Calibri"/>
              <a:ea typeface="Calibri"/>
              <a:cs typeface="Calibri"/>
            </a:rPr>
            <a:t>
</a:t>
          </a:r>
          <a:r>
            <a:rPr lang="en-US" cap="none" sz="800" b="0" i="0" u="none" baseline="0">
              <a:solidFill>
                <a:srgbClr val="003366"/>
              </a:solidFill>
              <a:latin typeface="Calibri"/>
              <a:ea typeface="Calibri"/>
              <a:cs typeface="Calibri"/>
            </a:rPr>
            <a:t>You can change any of the numbers in the orange-shaded cells. (Gray cells show results of calculations.) The per-client cost at the top of the page stays in place as you scroll down this tab so you can see how your changes affect results. View more detailed results of your changes on the tables on the Summary tab.
</a:t>
          </a:r>
          <a:r>
            <a:rPr lang="en-US" cap="none" sz="800" b="0" i="0" u="none" baseline="0">
              <a:solidFill>
                <a:srgbClr val="003366"/>
              </a:solidFill>
              <a:latin typeface="Calibri"/>
              <a:ea typeface="Calibri"/>
              <a:cs typeface="Calibri"/>
            </a:rPr>
            <a:t>
</a:t>
          </a:r>
          <a:r>
            <a:rPr lang="en-US" cap="none" sz="800" b="0" i="0" u="none" baseline="0">
              <a:solidFill>
                <a:srgbClr val="003366"/>
              </a:solidFill>
              <a:latin typeface="Calibri"/>
              <a:ea typeface="Calibri"/>
              <a:cs typeface="Calibri"/>
            </a:rPr>
            <a:t>Notes on assumptions and default values appear both at the bottom of this tab and in comment fields.</a:t>
          </a:r>
        </a:p>
      </xdr:txBody>
    </xdr:sp>
    <xdr:clientData/>
  </xdr:twoCellAnchor>
  <xdr:twoCellAnchor>
    <xdr:from>
      <xdr:col>1</xdr:col>
      <xdr:colOff>19050</xdr:colOff>
      <xdr:row>56</xdr:row>
      <xdr:rowOff>9525</xdr:rowOff>
    </xdr:from>
    <xdr:to>
      <xdr:col>8</xdr:col>
      <xdr:colOff>581025</xdr:colOff>
      <xdr:row>81</xdr:row>
      <xdr:rowOff>28575</xdr:rowOff>
    </xdr:to>
    <xdr:sp>
      <xdr:nvSpPr>
        <xdr:cNvPr id="3" name="TextBox 6"/>
        <xdr:cNvSpPr txBox="1">
          <a:spLocks noChangeArrowheads="1"/>
        </xdr:cNvSpPr>
      </xdr:nvSpPr>
      <xdr:spPr>
        <a:xfrm>
          <a:off x="133350" y="12706350"/>
          <a:ext cx="8239125" cy="4781550"/>
        </a:xfrm>
        <a:prstGeom prst="rect">
          <a:avLst/>
        </a:prstGeom>
        <a:solidFill>
          <a:srgbClr val="FFFFFF"/>
        </a:solidFill>
        <a:ln w="9525" cmpd="sng">
          <a:noFill/>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Sources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Case Studies with Intel® vPro™ processor technology An Analysis of Early Testing of Intel® vPro™ processor technology in Large IT Departments (Intel.com), an analysis of 10 pilot implementations of the new Intel vPro processor technology based PCs (2007).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Notes on default values 
</a:t>
          </a:r>
          <a:r>
            <a:rPr lang="en-US" cap="none" sz="900" b="1" i="0" u="none" baseline="0">
              <a:solidFill>
                <a:srgbClr val="000000"/>
              </a:solidFill>
              <a:latin typeface="Calibri"/>
              <a:ea typeface="Calibri"/>
              <a:cs typeface="Calibri"/>
            </a:rPr>
            <a:t>Costs for remote move, add, delete tasks (per system) 
</a:t>
          </a:r>
          <a:r>
            <a:rPr lang="en-US" cap="none" sz="900" b="0" i="0" u="none" baseline="0">
              <a:solidFill>
                <a:srgbClr val="000000"/>
              </a:solidFill>
              <a:latin typeface="Calibri"/>
              <a:ea typeface="Calibri"/>
              <a:cs typeface="Calibri"/>
            </a:rPr>
            <a:t>1. Our estimate of time to load image remotely. Each additional configuration adds cost. 
</a:t>
          </a:r>
          <a:r>
            <a:rPr lang="en-US" cap="none" sz="900" b="0" i="0" u="none" baseline="0">
              <a:solidFill>
                <a:srgbClr val="000000"/>
              </a:solidFill>
              <a:latin typeface="Calibri"/>
              <a:ea typeface="Calibri"/>
              <a:cs typeface="Calibri"/>
            </a:rPr>
            <a:t>2. Our estimate of application load time.
</a:t>
          </a:r>
          <a:r>
            <a:rPr lang="en-US" cap="none" sz="900" b="0" i="0" u="none" baseline="0">
              <a:solidFill>
                <a:srgbClr val="000000"/>
              </a:solidFill>
              <a:latin typeface="Calibri"/>
              <a:ea typeface="Calibri"/>
              <a:cs typeface="Calibri"/>
            </a:rPr>
            <a:t>3. Our estimate of user-state migration time.
</a:t>
          </a:r>
          <a:r>
            <a:rPr lang="en-US" cap="none" sz="900" b="0" i="0" u="none" baseline="0">
              <a:solidFill>
                <a:srgbClr val="000000"/>
              </a:solidFill>
              <a:latin typeface="Calibri"/>
              <a:ea typeface="Calibri"/>
              <a:cs typeface="Calibri"/>
            </a:rPr>
            <a:t>4. Our estimate of costs to set up equipment, install software agents, and ship the system.
</a:t>
          </a:r>
          <a:r>
            <a:rPr lang="en-US" cap="none" sz="900" b="0" i="0" u="none" baseline="0">
              <a:solidFill>
                <a:srgbClr val="000000"/>
              </a:solidFill>
              <a:latin typeface="Calibri"/>
              <a:ea typeface="Calibri"/>
              <a:cs typeface="Calibri"/>
            </a:rPr>
            <a:t>5. Our estimate of disposal time and cost to return the equipment to transport the client hardware.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Costs for on-site move, add problem resolution (per incident) 
</a:t>
          </a:r>
          <a:r>
            <a:rPr lang="en-US" cap="none" sz="900" b="0" i="0" u="none" baseline="0">
              <a:solidFill>
                <a:srgbClr val="000000"/>
              </a:solidFill>
              <a:latin typeface="Calibri"/>
              <a:ea typeface="Calibri"/>
              <a:cs typeface="Calibri"/>
            </a:rPr>
            <a:t>1. Our estimate of the cost of a desk-side visit to repair a move or add problem.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Move, add, delete costs per MAD client 
</a:t>
          </a:r>
          <a:r>
            <a:rPr lang="en-US" cap="none" sz="900" b="0" i="0" u="none" baseline="0">
              <a:solidFill>
                <a:srgbClr val="000000"/>
              </a:solidFill>
              <a:latin typeface="Calibri"/>
              <a:ea typeface="Calibri"/>
              <a:cs typeface="Calibri"/>
            </a:rPr>
            <a:t>1. Costs from previous table for image loading, application loading, user-state migration, and installing agents and shipping system.
</a:t>
          </a:r>
          <a:r>
            <a:rPr lang="en-US" cap="none" sz="900" b="0" i="0" u="none" baseline="0">
              <a:solidFill>
                <a:srgbClr val="000000"/>
              </a:solidFill>
              <a:latin typeface="Calibri"/>
              <a:ea typeface="Calibri"/>
              <a:cs typeface="Calibri"/>
            </a:rPr>
            <a:t>2. Costs from previous table for image loading, application loading, user-state migration, and installing agents and shipping system.
</a:t>
          </a:r>
          <a:r>
            <a:rPr lang="en-US" cap="none" sz="900" b="0" i="0" u="none" baseline="0">
              <a:solidFill>
                <a:srgbClr val="000000"/>
              </a:solidFill>
              <a:latin typeface="Calibri"/>
              <a:ea typeface="Calibri"/>
              <a:cs typeface="Calibri"/>
            </a:rPr>
            <a:t>3. Cost of desk-side visit to remediate move, add, delete problems from the Costs for on-site move or add problem resolution.
</a:t>
          </a:r>
          <a:r>
            <a:rPr lang="en-US" cap="none" sz="900" b="0" i="0" u="none" baseline="0">
              <a:solidFill>
                <a:srgbClr val="000000"/>
              </a:solidFill>
              <a:latin typeface="Calibri"/>
              <a:ea typeface="Calibri"/>
              <a:cs typeface="Calibri"/>
            </a:rPr>
            <a:t>4. Disposal costs from the costs for remote move, add, delete tasks table.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Annual costs for move, add, delete costs 
</a:t>
          </a:r>
          <a:r>
            <a:rPr lang="en-US" cap="none" sz="900" b="0" i="0" u="none" baseline="0">
              <a:solidFill>
                <a:srgbClr val="000000"/>
              </a:solidFill>
              <a:latin typeface="Calibri"/>
              <a:ea typeface="Calibri"/>
              <a:cs typeface="Calibri"/>
            </a:rPr>
            <a:t>1 Annual cost for all clients sums the move cost for all moved clients to the remediation costs for failed moves. Annual per client costs divide that cost by the total number of clients. The Move, Add, Delete details table on the questionnaire tab calculates the number of moved clients.
</a:t>
          </a:r>
          <a:r>
            <a:rPr lang="en-US" cap="none" sz="900" b="0" i="0" u="none" baseline="0">
              <a:solidFill>
                <a:srgbClr val="000000"/>
              </a:solidFill>
              <a:latin typeface="Calibri"/>
              <a:ea typeface="Calibri"/>
              <a:cs typeface="Calibri"/>
            </a:rPr>
            <a:t>2. Annual cost for all clients sums the move cost for all added clients to the remediation costs for failed moves. Annual per client costs divide that cost by the total number of clients. The Move, Add, Delete details table on the Questionnaire tab calculates the number of added</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clients.
</a:t>
          </a:r>
          <a:r>
            <a:rPr lang="en-US" cap="none" sz="900" b="0" i="0" u="none" baseline="0">
              <a:solidFill>
                <a:srgbClr val="000000"/>
              </a:solidFill>
              <a:latin typeface="Calibri"/>
              <a:ea typeface="Calibri"/>
              <a:cs typeface="Calibri"/>
            </a:rPr>
            <a:t>3. Multiplies the per client delete costs by number of deletes (from the Questionnaire tab).
</a:t>
          </a:r>
          <a:r>
            <a:rPr lang="en-US" cap="none" sz="900" b="0" i="0" u="none" baseline="0">
              <a:solidFill>
                <a:srgbClr val="000000"/>
              </a:solidFill>
              <a:latin typeface="Calibri"/>
              <a:ea typeface="Calibri"/>
              <a:cs typeface="Calibri"/>
            </a:rPr>
            <a:t>4. Totals the move, add, and delete costs.
</a:t>
          </a:r>
          <a:r>
            <a:rPr lang="en-US" cap="none" sz="900" b="0" i="0" u="none" baseline="0">
              <a:solidFill>
                <a:srgbClr val="000000"/>
              </a:solidFill>
              <a:latin typeface="Calibri"/>
              <a:ea typeface="Calibri"/>
              <a:cs typeface="Calibri"/>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47</xdr:row>
      <xdr:rowOff>161925</xdr:rowOff>
    </xdr:from>
    <xdr:to>
      <xdr:col>8</xdr:col>
      <xdr:colOff>800100</xdr:colOff>
      <xdr:row>53</xdr:row>
      <xdr:rowOff>57150</xdr:rowOff>
    </xdr:to>
    <xdr:sp>
      <xdr:nvSpPr>
        <xdr:cNvPr id="1" name="TextBox 3"/>
        <xdr:cNvSpPr txBox="1">
          <a:spLocks noChangeArrowheads="1"/>
        </xdr:cNvSpPr>
      </xdr:nvSpPr>
      <xdr:spPr>
        <a:xfrm>
          <a:off x="133350" y="10915650"/>
          <a:ext cx="8162925" cy="1038225"/>
        </a:xfrm>
        <a:prstGeom prst="rect">
          <a:avLst/>
        </a:prstGeom>
        <a:solidFill>
          <a:srgbClr val="F2F2F2"/>
        </a:solidFill>
        <a:ln w="0" cmpd="sng">
          <a:solidFill>
            <a:srgbClr val="DCE6F2"/>
          </a:solidFill>
          <a:headEnd type="none"/>
          <a:tailEnd type="none"/>
        </a:ln>
      </xdr:spPr>
      <xdr:txBody>
        <a:bodyPr vertOverflow="clip" wrap="square" lIns="91440" tIns="45720" rIns="91440" bIns="45720"/>
        <a:p>
          <a:pPr algn="l">
            <a:defRPr/>
          </a:pPr>
          <a:r>
            <a:rPr lang="en-US" cap="none" sz="900" b="1" i="0" u="none" baseline="0">
              <a:solidFill>
                <a:srgbClr val="003366"/>
              </a:solidFill>
              <a:latin typeface="Calibri"/>
              <a:ea typeface="Calibri"/>
              <a:cs typeface="Calibri"/>
            </a:rPr>
            <a:t>Model description</a:t>
          </a:r>
          <a:r>
            <a:rPr lang="en-US" cap="none" sz="1000" b="0" i="0" u="none" baseline="0">
              <a:solidFill>
                <a:srgbClr val="003366"/>
              </a:solidFill>
              <a:latin typeface="Calibri"/>
              <a:ea typeface="Calibri"/>
              <a:cs typeface="Calibri"/>
            </a:rPr>
            <a:t>
</a:t>
          </a:r>
          <a:r>
            <a:rPr lang="en-US" cap="none" sz="900" b="0" i="0" u="none" baseline="0">
              <a:solidFill>
                <a:srgbClr val="003366"/>
              </a:solidFill>
              <a:latin typeface="Calibri"/>
              <a:ea typeface="Calibri"/>
              <a:cs typeface="Calibri"/>
            </a:rPr>
            <a:t>The model tracks</a:t>
          </a:r>
          <a:r>
            <a:rPr lang="en-US" cap="none" sz="900" b="0" i="0" u="none" baseline="0">
              <a:solidFill>
                <a:srgbClr val="003366"/>
              </a:solidFill>
              <a:latin typeface="Calibri"/>
              <a:ea typeface="Calibri"/>
              <a:cs typeface="Calibri"/>
            </a:rPr>
            <a:t> </a:t>
          </a:r>
          <a:r>
            <a:rPr lang="en-US" cap="none" sz="900" b="0" i="0" u="none" baseline="0">
              <a:solidFill>
                <a:srgbClr val="003366"/>
              </a:solidFill>
              <a:latin typeface="Calibri"/>
              <a:ea typeface="Calibri"/>
              <a:cs typeface="Calibri"/>
            </a:rPr>
            <a:t>costs of remediating non-compliant</a:t>
          </a:r>
          <a:r>
            <a:rPr lang="en-US" cap="none" sz="900" b="0" i="0" u="none" baseline="0">
              <a:solidFill>
                <a:srgbClr val="003366"/>
              </a:solidFill>
              <a:latin typeface="Calibri"/>
              <a:ea typeface="Calibri"/>
              <a:cs typeface="Calibri"/>
            </a:rPr>
            <a:t> </a:t>
          </a:r>
          <a:r>
            <a:rPr lang="en-US" cap="none" sz="900" b="0" i="0" u="none" baseline="0">
              <a:solidFill>
                <a:srgbClr val="003366"/>
              </a:solidFill>
              <a:latin typeface="Calibri"/>
              <a:ea typeface="Calibri"/>
              <a:cs typeface="Calibri"/>
            </a:rPr>
            <a:t>software or devices. In</a:t>
          </a:r>
          <a:r>
            <a:rPr lang="en-US" cap="none" sz="900" b="0" i="0" u="none" baseline="0">
              <a:solidFill>
                <a:srgbClr val="003366"/>
              </a:solidFill>
              <a:latin typeface="Calibri"/>
              <a:ea typeface="Calibri"/>
              <a:cs typeface="Calibri"/>
            </a:rPr>
            <a:t> a well-managed enterprise, IT runs periodic compliance scans to detect non-compliance and then implements automated (policy driven) remediation. Scans check for patch, license agreement, software version, image compliance. This model tracks non-compliance incidents and three remediation methods:</a:t>
          </a:r>
          <a:r>
            <a:rPr lang="en-US" cap="none" sz="900" b="0" i="0" u="none" baseline="0">
              <a:solidFill>
                <a:srgbClr val="003366"/>
              </a:solidFill>
              <a:latin typeface="Calibri"/>
              <a:ea typeface="Calibri"/>
              <a:cs typeface="Calibri"/>
            </a:rPr>
            <a:t>
</a:t>
          </a:r>
          <a:r>
            <a:rPr lang="en-US" cap="none" sz="900" b="0" i="0" u="none" baseline="0">
              <a:solidFill>
                <a:srgbClr val="003366"/>
              </a:solidFill>
              <a:latin typeface="Calibri"/>
              <a:ea typeface="Calibri"/>
              <a:cs typeface="Calibri"/>
            </a:rPr>
            <a:t>Automated</a:t>
          </a:r>
          <a:r>
            <a:rPr lang="en-US" cap="none" sz="900" b="0" i="0" u="none" baseline="0">
              <a:solidFill>
                <a:srgbClr val="003366"/>
              </a:solidFill>
              <a:latin typeface="Calibri"/>
              <a:ea typeface="Calibri"/>
              <a:cs typeface="Calibri"/>
            </a:rPr>
            <a:t> remediation
</a:t>
          </a:r>
          <a:r>
            <a:rPr lang="en-US" cap="none" sz="900" b="0" i="0" u="none" baseline="0">
              <a:solidFill>
                <a:srgbClr val="003366"/>
              </a:solidFill>
              <a:latin typeface="Calibri"/>
              <a:ea typeface="Calibri"/>
              <a:cs typeface="Calibri"/>
            </a:rPr>
            <a:t>Manual remediation by IT staff (may require desk-side visit)
</a:t>
          </a:r>
          <a:r>
            <a:rPr lang="en-US" cap="none" sz="900" b="0" i="0" u="none" baseline="0">
              <a:solidFill>
                <a:srgbClr val="003366"/>
              </a:solidFill>
              <a:latin typeface="Calibri"/>
              <a:ea typeface="Calibri"/>
              <a:cs typeface="Calibri"/>
            </a:rPr>
            <a:t>Manual remediation by user (for example, resetting passwords)</a:t>
          </a:r>
          <a:r>
            <a:rPr lang="en-US" cap="none" sz="1000" b="0" i="0" u="none" baseline="0">
              <a:solidFill>
                <a:srgbClr val="003366"/>
              </a:solidFill>
              <a:latin typeface="Calibri"/>
              <a:ea typeface="Calibri"/>
              <a:cs typeface="Calibri"/>
            </a:rPr>
            <a:t>
</a:t>
          </a:r>
        </a:p>
      </xdr:txBody>
    </xdr:sp>
    <xdr:clientData/>
  </xdr:twoCellAnchor>
  <xdr:twoCellAnchor>
    <xdr:from>
      <xdr:col>7</xdr:col>
      <xdr:colOff>19050</xdr:colOff>
      <xdr:row>7</xdr:row>
      <xdr:rowOff>180975</xdr:rowOff>
    </xdr:from>
    <xdr:to>
      <xdr:col>9</xdr:col>
      <xdr:colOff>0</xdr:colOff>
      <xdr:row>19</xdr:row>
      <xdr:rowOff>0</xdr:rowOff>
    </xdr:to>
    <xdr:sp>
      <xdr:nvSpPr>
        <xdr:cNvPr id="2" name="TextBox 4"/>
        <xdr:cNvSpPr txBox="1">
          <a:spLocks noChangeArrowheads="1"/>
        </xdr:cNvSpPr>
      </xdr:nvSpPr>
      <xdr:spPr>
        <a:xfrm>
          <a:off x="6715125" y="1943100"/>
          <a:ext cx="1581150" cy="2562225"/>
        </a:xfrm>
        <a:prstGeom prst="rect">
          <a:avLst/>
        </a:prstGeom>
        <a:solidFill>
          <a:srgbClr val="F2F2F2"/>
        </a:solidFill>
        <a:ln w="9525" cmpd="sng">
          <a:solidFill>
            <a:srgbClr val="BCBCBC"/>
          </a:solidFill>
          <a:headEnd type="none"/>
          <a:tailEnd type="none"/>
        </a:ln>
      </xdr:spPr>
      <xdr:txBody>
        <a:bodyPr vertOverflow="clip" wrap="square" lIns="91440" tIns="45720" rIns="91440" bIns="45720"/>
        <a:p>
          <a:pPr algn="l">
            <a:defRPr/>
          </a:pPr>
          <a:r>
            <a:rPr lang="en-US" cap="none" sz="800" b="1" i="0" u="none" baseline="0">
              <a:solidFill>
                <a:srgbClr val="003366"/>
              </a:solidFill>
              <a:latin typeface="Calibri"/>
              <a:ea typeface="Calibri"/>
              <a:cs typeface="Calibri"/>
            </a:rPr>
            <a:t>Instructions
</a:t>
          </a:r>
          <a:r>
            <a:rPr lang="en-US" cap="none" sz="800" b="0" i="0" u="none" baseline="0">
              <a:solidFill>
                <a:srgbClr val="003366"/>
              </a:solidFill>
              <a:latin typeface="Calibri"/>
              <a:ea typeface="Calibri"/>
              <a:cs typeface="Calibri"/>
            </a:rPr>
            <a:t>You can change any of the numbers in the orange-shaded cells. (Gray cells show results of calculations). The per-client cost at the top of the page stays in place as you scroll down this tab so you can see how your changes affect results. View more detailed results of your changes on the tables on the Summary tab.
</a:t>
          </a:r>
          <a:r>
            <a:rPr lang="en-US" cap="none" sz="800" b="0" i="0" u="none" baseline="0">
              <a:solidFill>
                <a:srgbClr val="000000"/>
              </a:solidFill>
              <a:latin typeface="Calibri"/>
              <a:ea typeface="Calibri"/>
              <a:cs typeface="Calibri"/>
            </a:rPr>
            <a:t>
</a:t>
          </a:r>
          <a:r>
            <a:rPr lang="en-US" cap="none" sz="800" b="0" i="0" u="none" baseline="0">
              <a:solidFill>
                <a:srgbClr val="003366"/>
              </a:solidFill>
              <a:latin typeface="Calibri"/>
              <a:ea typeface="Calibri"/>
              <a:cs typeface="Calibri"/>
            </a:rPr>
            <a:t>Notes on assumptions and default values appear both at the bottom of this tab and in comment fields.</a:t>
          </a:r>
        </a:p>
      </xdr:txBody>
    </xdr:sp>
    <xdr:clientData/>
  </xdr:twoCellAnchor>
  <xdr:twoCellAnchor>
    <xdr:from>
      <xdr:col>1</xdr:col>
      <xdr:colOff>28575</xdr:colOff>
      <xdr:row>55</xdr:row>
      <xdr:rowOff>28575</xdr:rowOff>
    </xdr:from>
    <xdr:to>
      <xdr:col>8</xdr:col>
      <xdr:colOff>752475</xdr:colOff>
      <xdr:row>67</xdr:row>
      <xdr:rowOff>76200</xdr:rowOff>
    </xdr:to>
    <xdr:sp>
      <xdr:nvSpPr>
        <xdr:cNvPr id="3" name="TextBox 5"/>
        <xdr:cNvSpPr txBox="1">
          <a:spLocks noChangeArrowheads="1"/>
        </xdr:cNvSpPr>
      </xdr:nvSpPr>
      <xdr:spPr>
        <a:xfrm>
          <a:off x="142875" y="12306300"/>
          <a:ext cx="8105775" cy="2333625"/>
        </a:xfrm>
        <a:prstGeom prst="rect">
          <a:avLst/>
        </a:prstGeom>
        <a:solidFill>
          <a:srgbClr val="FFFFFF"/>
        </a:solidFill>
        <a:ln w="9525" cmpd="sng">
          <a:noFill/>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Sources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Measuring the Value of Intel® vPro™ Technology in the Enterprise, Wipro Ltd., 2006 (www.Intel.com).
</a:t>
          </a:r>
          <a:r>
            <a:rPr lang="en-US" cap="none" sz="900" b="1"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Notes on default values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Clients inventoried by compliance scenario</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 Successful completion rate is equal to the average percentage of clients accessible remotely by management tools on Questionnaire tab. We assume remaining clients require a manual audit.
</a:t>
          </a:r>
          <a:r>
            <a:rPr lang="en-US" cap="none" sz="900" b="0" i="0" u="none" baseline="0">
              <a:solidFill>
                <a:srgbClr val="000000"/>
              </a:solidFill>
              <a:latin typeface="Calibri"/>
              <a:ea typeface="Calibri"/>
              <a:cs typeface="Calibri"/>
            </a:rPr>
            <a:t>2. Remediation of non-compliant systems section estimates the percentage of systems that require each of three types of remediation. IT using management tools can correct most compliance problems by updating out-of-compliance software, deleting unlicensed software, or other corrective measures. The remaining problems require either the user or IT to fix the problem desk side</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Costs for compliance scenarios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 Compliance audit costs are similar to those for asset inventories. The automated audit requires some setup time. Costs are low if remediation costs can be contained.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8</xdr:row>
      <xdr:rowOff>0</xdr:rowOff>
    </xdr:from>
    <xdr:to>
      <xdr:col>9</xdr:col>
      <xdr:colOff>0</xdr:colOff>
      <xdr:row>18</xdr:row>
      <xdr:rowOff>295275</xdr:rowOff>
    </xdr:to>
    <xdr:sp>
      <xdr:nvSpPr>
        <xdr:cNvPr id="1" name="TextBox 5"/>
        <xdr:cNvSpPr txBox="1">
          <a:spLocks noChangeArrowheads="1"/>
        </xdr:cNvSpPr>
      </xdr:nvSpPr>
      <xdr:spPr>
        <a:xfrm>
          <a:off x="6057900" y="1714500"/>
          <a:ext cx="1609725" cy="3181350"/>
        </a:xfrm>
        <a:prstGeom prst="rect">
          <a:avLst/>
        </a:prstGeom>
        <a:solidFill>
          <a:srgbClr val="F2F2F2"/>
        </a:solidFill>
        <a:ln w="9525" cmpd="sng">
          <a:solidFill>
            <a:srgbClr val="BCBCBC"/>
          </a:solidFill>
          <a:headEnd type="none"/>
          <a:tailEnd type="none"/>
        </a:ln>
      </xdr:spPr>
      <xdr:txBody>
        <a:bodyPr vertOverflow="clip" wrap="square" lIns="91440" tIns="45720" rIns="91440" bIns="45720"/>
        <a:p>
          <a:pPr algn="l">
            <a:defRPr/>
          </a:pPr>
          <a:r>
            <a:rPr lang="en-US" cap="none" sz="800" b="1" i="0" u="none" baseline="0">
              <a:solidFill>
                <a:srgbClr val="003366"/>
              </a:solidFill>
              <a:latin typeface="Calibri"/>
              <a:ea typeface="Calibri"/>
              <a:cs typeface="Calibri"/>
            </a:rPr>
            <a:t>Instructions
</a:t>
          </a:r>
          <a:r>
            <a:rPr lang="en-US" cap="none" sz="800" b="0" i="0" u="none" baseline="0">
              <a:solidFill>
                <a:srgbClr val="003366"/>
              </a:solidFill>
              <a:latin typeface="Calibri"/>
              <a:ea typeface="Calibri"/>
              <a:cs typeface="Calibri"/>
            </a:rPr>
            <a:t>You can change any of the numbers in the orange-shaded cells. (Gray cells show results of calculations.) The per-client cost at the top of the page stays in place as you scroll down this tab so you can see how your changes affect results. View more detailed results of your changes on th tables on the Summary tab.
</a:t>
          </a:r>
          <a:r>
            <a:rPr lang="en-US" cap="none" sz="800" b="0" i="0" u="none" baseline="0">
              <a:solidFill>
                <a:srgbClr val="000000"/>
              </a:solidFill>
              <a:latin typeface="Calibri"/>
              <a:ea typeface="Calibri"/>
              <a:cs typeface="Calibri"/>
            </a:rPr>
            <a:t>
</a:t>
          </a:r>
          <a:r>
            <a:rPr lang="en-US" cap="none" sz="800" b="0" i="0" u="none" baseline="0">
              <a:solidFill>
                <a:srgbClr val="003366"/>
              </a:solidFill>
              <a:latin typeface="Calibri"/>
              <a:ea typeface="Calibri"/>
              <a:cs typeface="Calibri"/>
            </a:rPr>
            <a:t>Notes on assumptions and default values appear both at the bottom of this tab and in comment fields.</a:t>
          </a:r>
        </a:p>
      </xdr:txBody>
    </xdr:sp>
    <xdr:clientData/>
  </xdr:twoCellAnchor>
  <xdr:twoCellAnchor>
    <xdr:from>
      <xdr:col>1</xdr:col>
      <xdr:colOff>19050</xdr:colOff>
      <xdr:row>66</xdr:row>
      <xdr:rowOff>180975</xdr:rowOff>
    </xdr:from>
    <xdr:to>
      <xdr:col>9</xdr:col>
      <xdr:colOff>0</xdr:colOff>
      <xdr:row>74</xdr:row>
      <xdr:rowOff>9525</xdr:rowOff>
    </xdr:to>
    <xdr:sp>
      <xdr:nvSpPr>
        <xdr:cNvPr id="2" name="TextBox 4"/>
        <xdr:cNvSpPr txBox="1">
          <a:spLocks noChangeArrowheads="1"/>
        </xdr:cNvSpPr>
      </xdr:nvSpPr>
      <xdr:spPr>
        <a:xfrm>
          <a:off x="133350" y="18878550"/>
          <a:ext cx="7534275" cy="1352550"/>
        </a:xfrm>
        <a:prstGeom prst="rect">
          <a:avLst/>
        </a:prstGeom>
        <a:solidFill>
          <a:srgbClr val="F2F2F2"/>
        </a:solidFill>
        <a:ln w="0" cmpd="sng">
          <a:solidFill>
            <a:srgbClr val="DCE6F2"/>
          </a:solidFill>
          <a:headEnd type="none"/>
          <a:tailEnd type="none"/>
        </a:ln>
      </xdr:spPr>
      <xdr:txBody>
        <a:bodyPr vertOverflow="clip" wrap="square" lIns="91440" tIns="45720" rIns="91440" bIns="45720"/>
        <a:p>
          <a:pPr algn="l">
            <a:defRPr/>
          </a:pPr>
          <a:r>
            <a:rPr lang="en-US" cap="none" sz="900" b="1" i="0" u="none" baseline="0">
              <a:solidFill>
                <a:srgbClr val="003366"/>
              </a:solidFill>
              <a:latin typeface="Calibri"/>
              <a:ea typeface="Calibri"/>
              <a:cs typeface="Calibri"/>
            </a:rPr>
            <a:t>Model Description
</a:t>
          </a:r>
          <a:r>
            <a:rPr lang="en-US" cap="none" sz="900" b="0" i="0" u="none" baseline="0">
              <a:solidFill>
                <a:srgbClr val="003366"/>
              </a:solidFill>
              <a:latin typeface="Calibri"/>
              <a:ea typeface="Calibri"/>
              <a:cs typeface="Calibri"/>
            </a:rPr>
            <a:t>The model includes costs of</a:t>
          </a:r>
          <a:r>
            <a:rPr lang="en-US" cap="none" sz="900" b="0" i="0" u="none" baseline="0">
              <a:solidFill>
                <a:srgbClr val="003366"/>
              </a:solidFill>
              <a:latin typeface="Calibri"/>
              <a:ea typeface="Calibri"/>
              <a:cs typeface="Calibri"/>
            </a:rPr>
            <a:t> remediating infections and takes into account user downtime caused by server infections.</a:t>
          </a:r>
          <a:r>
            <a:rPr lang="en-US" cap="none" sz="900" b="0" i="0" u="none" baseline="0">
              <a:solidFill>
                <a:srgbClr val="003366"/>
              </a:solidFill>
              <a:latin typeface="Calibri"/>
              <a:ea typeface="Calibri"/>
              <a:cs typeface="Calibri"/>
            </a:rPr>
            <a:t>The model tracks</a:t>
          </a:r>
          <a:r>
            <a:rPr lang="en-US" cap="none" sz="900" b="0" i="0" u="none" baseline="0">
              <a:solidFill>
                <a:srgbClr val="003366"/>
              </a:solidFill>
              <a:latin typeface="Calibri"/>
              <a:ea typeface="Calibri"/>
              <a:cs typeface="Calibri"/>
            </a:rPr>
            <a:t> </a:t>
          </a:r>
          <a:r>
            <a:rPr lang="en-US" cap="none" sz="900" b="0" i="0" u="none" baseline="0">
              <a:solidFill>
                <a:srgbClr val="003366"/>
              </a:solidFill>
              <a:latin typeface="Calibri"/>
              <a:ea typeface="Calibri"/>
              <a:cs typeface="Calibri"/>
            </a:rPr>
            <a:t>costs for five security problem</a:t>
          </a:r>
          <a:r>
            <a:rPr lang="en-US" cap="none" sz="900" b="0" i="0" u="none" baseline="0">
              <a:solidFill>
                <a:srgbClr val="003366"/>
              </a:solidFill>
              <a:latin typeface="Calibri"/>
              <a:ea typeface="Calibri"/>
              <a:cs typeface="Calibri"/>
            </a:rPr>
            <a:t> resolution scenarios</a:t>
          </a:r>
          <a:r>
            <a:rPr lang="en-US" cap="none" sz="900" b="0" i="0" u="none" baseline="0">
              <a:solidFill>
                <a:srgbClr val="003366"/>
              </a:solidFill>
              <a:latin typeface="Calibri"/>
              <a:ea typeface="Calibri"/>
              <a:cs typeface="Calibri"/>
            </a:rPr>
            <a:t>:</a:t>
          </a:r>
          <a:r>
            <a:rPr lang="en-US" cap="none" sz="900" b="0" i="0" u="none" baseline="0">
              <a:solidFill>
                <a:srgbClr val="003366"/>
              </a:solidFill>
              <a:latin typeface="Calibri"/>
              <a:ea typeface="Calibri"/>
              <a:cs typeface="Calibri"/>
            </a:rPr>
            <a:t>
</a:t>
          </a:r>
          <a:r>
            <a:rPr lang="en-US" cap="none" sz="900" b="0" i="0" u="none" baseline="0">
              <a:solidFill>
                <a:srgbClr val="003366"/>
              </a:solidFill>
              <a:latin typeface="Calibri"/>
              <a:ea typeface="Calibri"/>
              <a:cs typeface="Calibri"/>
            </a:rPr>
            <a:t>Problem resolved remotely by</a:t>
          </a:r>
          <a:r>
            <a:rPr lang="en-US" cap="none" sz="900" b="0" i="0" u="none" baseline="0">
              <a:solidFill>
                <a:srgbClr val="003366"/>
              </a:solidFill>
              <a:latin typeface="Calibri"/>
              <a:ea typeface="Calibri"/>
              <a:cs typeface="Calibri"/>
            </a:rPr>
            <a:t> level 1 staff</a:t>
          </a:r>
          <a:r>
            <a:rPr lang="en-US" cap="none" sz="900" b="0" i="0" u="none" baseline="0">
              <a:solidFill>
                <a:srgbClr val="003366"/>
              </a:solidFill>
              <a:latin typeface="Calibri"/>
              <a:ea typeface="Calibri"/>
              <a:cs typeface="Calibri"/>
            </a:rPr>
            <a:t>
</a:t>
          </a:r>
          <a:r>
            <a:rPr lang="en-US" cap="none" sz="900" b="0" i="0" u="none" baseline="0">
              <a:solidFill>
                <a:srgbClr val="003366"/>
              </a:solidFill>
              <a:latin typeface="Calibri"/>
              <a:ea typeface="Calibri"/>
              <a:cs typeface="Calibri"/>
            </a:rPr>
            <a:t>Problem resolved remotely by</a:t>
          </a:r>
          <a:r>
            <a:rPr lang="en-US" cap="none" sz="900" b="0" i="0" u="none" baseline="0">
              <a:solidFill>
                <a:srgbClr val="003366"/>
              </a:solidFill>
              <a:latin typeface="Calibri"/>
              <a:ea typeface="Calibri"/>
              <a:cs typeface="Calibri"/>
            </a:rPr>
            <a:t> level 2 staff</a:t>
          </a:r>
          <a:r>
            <a:rPr lang="en-US" cap="none" sz="900" b="0" i="0" u="none" baseline="0">
              <a:solidFill>
                <a:srgbClr val="003366"/>
              </a:solidFill>
              <a:latin typeface="Calibri"/>
              <a:ea typeface="Calibri"/>
              <a:cs typeface="Calibri"/>
            </a:rPr>
            <a:t>
</a:t>
          </a:r>
          <a:r>
            <a:rPr lang="en-US" cap="none" sz="900" b="0" i="0" u="none" baseline="0">
              <a:solidFill>
                <a:srgbClr val="003366"/>
              </a:solidFill>
              <a:latin typeface="Calibri"/>
              <a:ea typeface="Calibri"/>
              <a:cs typeface="Calibri"/>
            </a:rPr>
            <a:t>Problem resolved with one or</a:t>
          </a:r>
          <a:r>
            <a:rPr lang="en-US" cap="none" sz="900" b="0" i="0" u="none" baseline="0">
              <a:solidFill>
                <a:srgbClr val="003366"/>
              </a:solidFill>
              <a:latin typeface="Calibri"/>
              <a:ea typeface="Calibri"/>
              <a:cs typeface="Calibri"/>
            </a:rPr>
            <a:t> more </a:t>
          </a:r>
          <a:r>
            <a:rPr lang="en-US" cap="none" sz="900" b="0" i="0" u="none" baseline="0">
              <a:solidFill>
                <a:srgbClr val="003366"/>
              </a:solidFill>
              <a:latin typeface="Calibri"/>
              <a:ea typeface="Calibri"/>
              <a:cs typeface="Calibri"/>
            </a:rPr>
            <a:t>desk-side visits
</a:t>
          </a:r>
          <a:r>
            <a:rPr lang="en-US" cap="none" sz="900" b="0" i="0" u="none" baseline="0">
              <a:solidFill>
                <a:srgbClr val="003366"/>
              </a:solidFill>
              <a:latin typeface="Calibri"/>
              <a:ea typeface="Calibri"/>
              <a:cs typeface="Calibri"/>
            </a:rPr>
            <a:t>Problem resolved with user hardware swap and return and IT remote reimage</a:t>
          </a:r>
          <a:r>
            <a:rPr lang="en-US" cap="none" sz="900" b="0" i="0" u="none" baseline="0">
              <a:solidFill>
                <a:srgbClr val="003366"/>
              </a:solidFill>
              <a:latin typeface="Calibri"/>
              <a:ea typeface="Calibri"/>
              <a:cs typeface="Calibri"/>
            </a:rPr>
            <a:t> 
</a:t>
          </a:r>
          <a:r>
            <a:rPr lang="en-US" cap="none" sz="900" b="0" i="0" u="none" baseline="0">
              <a:solidFill>
                <a:srgbClr val="003366"/>
              </a:solidFill>
              <a:latin typeface="Calibri"/>
              <a:ea typeface="Calibri"/>
              <a:cs typeface="Calibri"/>
            </a:rPr>
            <a:t>Server infection resolved by IT server-side</a:t>
          </a:r>
        </a:p>
      </xdr:txBody>
    </xdr:sp>
    <xdr:clientData/>
  </xdr:twoCellAnchor>
  <xdr:twoCellAnchor>
    <xdr:from>
      <xdr:col>1</xdr:col>
      <xdr:colOff>9525</xdr:colOff>
      <xdr:row>75</xdr:row>
      <xdr:rowOff>47625</xdr:rowOff>
    </xdr:from>
    <xdr:to>
      <xdr:col>8</xdr:col>
      <xdr:colOff>733425</xdr:colOff>
      <xdr:row>88</xdr:row>
      <xdr:rowOff>161925</xdr:rowOff>
    </xdr:to>
    <xdr:sp>
      <xdr:nvSpPr>
        <xdr:cNvPr id="3" name="TextBox 3"/>
        <xdr:cNvSpPr txBox="1">
          <a:spLocks noChangeArrowheads="1"/>
        </xdr:cNvSpPr>
      </xdr:nvSpPr>
      <xdr:spPr>
        <a:xfrm>
          <a:off x="123825" y="20459700"/>
          <a:ext cx="7448550" cy="2590800"/>
        </a:xfrm>
        <a:prstGeom prst="rect">
          <a:avLst/>
        </a:prstGeom>
        <a:solidFill>
          <a:srgbClr val="FFFFFF"/>
        </a:solidFill>
        <a:ln w="9525" cmpd="sng">
          <a:noFill/>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Sources</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Measuring the Value of Intel® vPro™ Technology in the Enterprise, Wipro Ltd., 2006 (www.Intel.com).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Notes on default values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Security infection penetration (per incident)</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1.If the initial calls do not solve the problem, the IT technicians can schedule a deskside visit or arrange for the user to swap the client system with a new system that IT then reimages. 
</a:t>
          </a:r>
          <a:r>
            <a:rPr lang="en-US" cap="none" sz="900" b="0" i="0" u="none" baseline="0">
              <a:solidFill>
                <a:srgbClr val="000000"/>
              </a:solidFill>
              <a:latin typeface="Calibri"/>
              <a:ea typeface="Calibri"/>
              <a:cs typeface="Calibri"/>
            </a:rPr>
            <a:t>2.Number of infections (per year) calculated by multiplying percentage of infections times number of annual infections from the Questionnaire tab.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Client infections resolved by type of response scenario (client)</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1.Remote remediation saves on high cost of desk-side visits.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Security Costs</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1.Calculated based on values in the previous tables and the Security</a:t>
          </a:r>
          <a:r>
            <a:rPr lang="en-US" cap="none" sz="900" b="0" i="0" u="none" baseline="0">
              <a:solidFill>
                <a:srgbClr val="000000"/>
              </a:solidFill>
              <a:latin typeface="Calibri"/>
              <a:ea typeface="Calibri"/>
              <a:cs typeface="Calibri"/>
            </a:rPr>
            <a:t> infections table on the Questionnaire tab</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9">
    <tabColor theme="3"/>
    <pageSetUpPr fitToPage="1"/>
  </sheetPr>
  <dimension ref="A1:K38"/>
  <sheetViews>
    <sheetView zoomScalePageLayoutView="0" workbookViewId="0" topLeftCell="A1">
      <selection activeCell="A1" sqref="A1"/>
    </sheetView>
  </sheetViews>
  <sheetFormatPr defaultColWidth="9.140625" defaultRowHeight="14.25" customHeight="1"/>
  <cols>
    <col min="1" max="1" width="1.7109375" style="47" customWidth="1"/>
    <col min="2" max="2" width="31.140625" style="46" customWidth="1"/>
    <col min="3" max="4" width="13.28125" style="47" customWidth="1"/>
    <col min="5" max="5" width="4.421875" style="47" customWidth="1"/>
    <col min="6" max="6" width="53.28125" style="47" customWidth="1"/>
    <col min="7" max="7" width="14.8515625" style="47" customWidth="1"/>
    <col min="8" max="10" width="13.28125" style="47" customWidth="1"/>
    <col min="11" max="16384" width="9.140625" style="47" customWidth="1"/>
  </cols>
  <sheetData>
    <row r="1" ht="58.5" customHeight="1">
      <c r="A1" s="45"/>
    </row>
    <row r="2" spans="2:10" s="48" customFormat="1" ht="16.5" customHeight="1">
      <c r="B2" s="49"/>
      <c r="C2" s="50"/>
      <c r="D2" s="50"/>
      <c r="E2" s="50"/>
      <c r="F2" s="50"/>
      <c r="G2" s="50"/>
      <c r="H2" s="50"/>
      <c r="I2" s="50"/>
      <c r="J2" s="51"/>
    </row>
    <row r="3" spans="6:9" s="48" customFormat="1" ht="16.5" customHeight="1">
      <c r="F3" s="263" t="s">
        <v>116</v>
      </c>
      <c r="G3" s="263"/>
      <c r="H3" s="52"/>
      <c r="I3" s="52"/>
    </row>
    <row r="4" s="48" customFormat="1" ht="16.5" customHeight="1">
      <c r="B4" s="53"/>
    </row>
    <row r="5" s="48" customFormat="1" ht="16.5" customHeight="1">
      <c r="B5" s="53"/>
    </row>
    <row r="6" s="48" customFormat="1" ht="16.5" customHeight="1">
      <c r="B6" s="53"/>
    </row>
    <row r="7" s="48" customFormat="1" ht="16.5" customHeight="1">
      <c r="B7" s="53"/>
    </row>
    <row r="8" s="48" customFormat="1" ht="16.5" customHeight="1">
      <c r="B8" s="53"/>
    </row>
    <row r="9" s="48" customFormat="1" ht="16.5" customHeight="1">
      <c r="B9" s="53"/>
    </row>
    <row r="10" spans="2:7" s="48" customFormat="1" ht="16.5" customHeight="1">
      <c r="B10" s="53"/>
      <c r="F10" s="262" t="s">
        <v>68</v>
      </c>
      <c r="G10" s="262"/>
    </row>
    <row r="11" spans="2:7" s="48" customFormat="1" ht="16.5" customHeight="1">
      <c r="B11" s="53"/>
      <c r="F11" s="54" t="s">
        <v>117</v>
      </c>
      <c r="G11" s="54" t="s">
        <v>69</v>
      </c>
    </row>
    <row r="12" spans="2:9" s="48" customFormat="1" ht="16.5" customHeight="1">
      <c r="B12" s="53"/>
      <c r="F12" s="55" t="s">
        <v>74</v>
      </c>
      <c r="G12" s="56" t="s">
        <v>88</v>
      </c>
      <c r="I12" s="57"/>
    </row>
    <row r="13" spans="2:10" s="48" customFormat="1" ht="16.5" customHeight="1">
      <c r="B13" s="51"/>
      <c r="C13" s="51"/>
      <c r="D13" s="51"/>
      <c r="E13" s="51"/>
      <c r="F13" s="55" t="s">
        <v>75</v>
      </c>
      <c r="G13" s="58" t="s">
        <v>295</v>
      </c>
      <c r="J13" s="57"/>
    </row>
    <row r="14" spans="6:10" s="48" customFormat="1" ht="16.5" customHeight="1">
      <c r="F14" s="55" t="s">
        <v>76</v>
      </c>
      <c r="G14" s="56" t="s">
        <v>70</v>
      </c>
      <c r="J14" s="57"/>
    </row>
    <row r="15" spans="6:7" s="48" customFormat="1" ht="16.5" customHeight="1">
      <c r="F15" s="55" t="s">
        <v>77</v>
      </c>
      <c r="G15" s="56" t="s">
        <v>71</v>
      </c>
    </row>
    <row r="16" spans="6:7" s="48" customFormat="1" ht="16.5" customHeight="1">
      <c r="F16" s="55" t="s">
        <v>78</v>
      </c>
      <c r="G16" s="56" t="s">
        <v>72</v>
      </c>
    </row>
    <row r="17" spans="6:7" s="48" customFormat="1" ht="16.5" customHeight="1">
      <c r="F17" s="55" t="s">
        <v>79</v>
      </c>
      <c r="G17" s="56" t="s">
        <v>73</v>
      </c>
    </row>
    <row r="18" spans="2:7" ht="16.5" customHeight="1">
      <c r="B18" s="260" t="s">
        <v>301</v>
      </c>
      <c r="C18" s="261"/>
      <c r="F18" s="55" t="s">
        <v>80</v>
      </c>
      <c r="G18" s="56" t="s">
        <v>21</v>
      </c>
    </row>
    <row r="19" spans="2:7" ht="16.5" customHeight="1">
      <c r="B19" s="59" t="s">
        <v>65</v>
      </c>
      <c r="C19" s="60">
        <v>8000</v>
      </c>
      <c r="F19" s="61" t="s">
        <v>81</v>
      </c>
      <c r="G19" s="56" t="s">
        <v>22</v>
      </c>
    </row>
    <row r="20" ht="16.5" customHeight="1">
      <c r="B20" s="47"/>
    </row>
    <row r="21" ht="16.5" customHeight="1">
      <c r="B21" s="47"/>
    </row>
    <row r="22" ht="16.5" customHeight="1">
      <c r="B22" s="47"/>
    </row>
    <row r="23" spans="2:10" ht="16.5" customHeight="1">
      <c r="B23" s="47"/>
      <c r="H23" s="57"/>
      <c r="I23" s="57"/>
      <c r="J23" s="57"/>
    </row>
    <row r="24" spans="2:11" ht="16.5" customHeight="1">
      <c r="B24" s="47"/>
      <c r="K24" s="57"/>
    </row>
    <row r="25" ht="16.5" customHeight="1">
      <c r="B25" s="47"/>
    </row>
    <row r="26" ht="16.5" customHeight="1">
      <c r="B26" s="47"/>
    </row>
    <row r="27" ht="16.5" customHeight="1"/>
    <row r="28" ht="16.5" customHeight="1">
      <c r="B28" s="47"/>
    </row>
    <row r="29" ht="16.5" customHeight="1">
      <c r="B29" s="47"/>
    </row>
    <row r="30" ht="16.5" customHeight="1"/>
    <row r="31" ht="16.5" customHeight="1">
      <c r="B31" s="47"/>
    </row>
    <row r="32" ht="16.5" customHeight="1">
      <c r="B32" s="47"/>
    </row>
    <row r="33" ht="16.5" customHeight="1">
      <c r="B33" s="47"/>
    </row>
    <row r="34" ht="16.5" customHeight="1">
      <c r="B34" s="47"/>
    </row>
    <row r="35" ht="16.5" customHeight="1">
      <c r="B35" s="47"/>
    </row>
    <row r="36" ht="16.5" customHeight="1">
      <c r="B36" s="47"/>
    </row>
    <row r="37" ht="16.5" customHeight="1">
      <c r="B37" s="47"/>
    </row>
    <row r="38" ht="16.5" customHeight="1">
      <c r="B38" s="47"/>
    </row>
  </sheetData>
  <sheetProtection sheet="1" objects="1" scenarios="1"/>
  <mergeCells count="3">
    <mergeCell ref="B18:C18"/>
    <mergeCell ref="F10:G10"/>
    <mergeCell ref="F3:G3"/>
  </mergeCells>
  <hyperlinks>
    <hyperlink ref="G13" location="Questionnaire!A1" display="Questionnaire"/>
    <hyperlink ref="G12" location="Summary!A1" display="Summary"/>
    <hyperlink ref="G14" location="Patching!A1" display="Patching"/>
    <hyperlink ref="G15" location="Support!A1" display="Support"/>
    <hyperlink ref="G16" location="Inventory!A1" display="Inventory"/>
    <hyperlink ref="G17" location="MAD!A1" display="MAD"/>
    <hyperlink ref="G18" location="Compliance!A1" display="Compliance"/>
    <hyperlink ref="G19" location="Security!A1" display="Security"/>
  </hyperlinks>
  <printOptions/>
  <pageMargins left="0.3" right="0.3" top="0.3" bottom="0.3" header="0" footer="0"/>
  <pageSetup fitToHeight="9" fitToWidth="1"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codeName="Sheet10"/>
  <dimension ref="A1:A4"/>
  <sheetViews>
    <sheetView zoomScalePageLayoutView="0" workbookViewId="0" topLeftCell="A1">
      <selection activeCell="A5" sqref="A5"/>
    </sheetView>
  </sheetViews>
  <sheetFormatPr defaultColWidth="9.140625" defaultRowHeight="15"/>
  <sheetData>
    <row r="1" ht="15">
      <c r="A1" t="s">
        <v>3</v>
      </c>
    </row>
    <row r="2" ht="15">
      <c r="A2" t="s">
        <v>5</v>
      </c>
    </row>
    <row r="3" ht="15">
      <c r="A3" t="s">
        <v>4</v>
      </c>
    </row>
    <row r="4" ht="15">
      <c r="A4" t="s">
        <v>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8">
    <tabColor theme="3"/>
  </sheetPr>
  <dimension ref="A1:L193"/>
  <sheetViews>
    <sheetView tabSelected="1" zoomScaleSheetLayoutView="100" workbookViewId="0" topLeftCell="A1">
      <selection activeCell="A1" sqref="A1"/>
    </sheetView>
  </sheetViews>
  <sheetFormatPr defaultColWidth="9.140625" defaultRowHeight="15"/>
  <cols>
    <col min="1" max="1" width="1.7109375" style="0" customWidth="1"/>
    <col min="2" max="2" width="28.8515625" style="0" customWidth="1"/>
    <col min="3" max="4" width="16.7109375" style="0" customWidth="1"/>
    <col min="5" max="5" width="0.85546875" style="0" customWidth="1"/>
    <col min="6" max="6" width="28.57421875" style="0" customWidth="1"/>
    <col min="7" max="8" width="16.7109375" style="0" customWidth="1"/>
    <col min="9" max="9" width="3.00390625" style="0" customWidth="1"/>
  </cols>
  <sheetData>
    <row r="1" spans="1:10" ht="53.25" customHeight="1">
      <c r="A1" s="44"/>
      <c r="B1" s="1"/>
      <c r="C1" s="1"/>
      <c r="D1" s="1"/>
      <c r="E1" s="1"/>
      <c r="F1" s="1"/>
      <c r="G1" s="1"/>
      <c r="H1" s="1"/>
      <c r="I1" s="42"/>
      <c r="J1" s="43"/>
    </row>
    <row r="2" spans="2:8" ht="19.5" thickBot="1">
      <c r="B2" s="276" t="s">
        <v>97</v>
      </c>
      <c r="C2" s="276"/>
      <c r="D2" s="276"/>
      <c r="E2" s="276"/>
      <c r="F2" s="276"/>
      <c r="G2" s="276"/>
      <c r="H2" s="276"/>
    </row>
    <row r="15" spans="2:8" ht="15">
      <c r="B15" s="270" t="s">
        <v>119</v>
      </c>
      <c r="C15" s="271"/>
      <c r="D15" s="272"/>
      <c r="F15" s="270" t="str">
        <f>"Manageability costs 
(annual costs for all "&amp;TEXT(NumClients,"0,000")&amp;" clients)"</f>
        <v>Manageability costs 
(annual costs for all 8,000 clients)</v>
      </c>
      <c r="G15" s="271"/>
      <c r="H15" s="272"/>
    </row>
    <row r="16" spans="2:8" s="2" customFormat="1" ht="39" customHeight="1">
      <c r="B16" s="3"/>
      <c r="C16" s="4" t="s">
        <v>98</v>
      </c>
      <c r="D16" s="4" t="s">
        <v>1</v>
      </c>
      <c r="F16" s="3"/>
      <c r="G16" s="4" t="s">
        <v>98</v>
      </c>
      <c r="H16" s="4" t="s">
        <v>1</v>
      </c>
    </row>
    <row r="17" spans="2:8" s="2" customFormat="1" ht="15" customHeight="1">
      <c r="B17" s="35" t="s">
        <v>20</v>
      </c>
      <c r="C17" s="40">
        <f>C34</f>
        <v>17.7</v>
      </c>
      <c r="D17" s="40">
        <f>D34</f>
        <v>15.950000000000001</v>
      </c>
      <c r="E17" s="28"/>
      <c r="F17" s="35" t="s">
        <v>20</v>
      </c>
      <c r="G17" s="17">
        <f>ROUND(C35,0)</f>
        <v>141670</v>
      </c>
      <c r="H17" s="17">
        <f>ROUND(D35,0)</f>
        <v>127569</v>
      </c>
    </row>
    <row r="18" spans="2:8" s="2" customFormat="1" ht="15" customHeight="1">
      <c r="B18" s="35" t="s">
        <v>19</v>
      </c>
      <c r="C18" s="40">
        <f>C64</f>
        <v>363.44</v>
      </c>
      <c r="D18" s="40">
        <f>D64</f>
        <v>140.67</v>
      </c>
      <c r="E18" s="28"/>
      <c r="F18" s="35" t="s">
        <v>19</v>
      </c>
      <c r="G18" s="17">
        <f>ROUND(C65,0)</f>
        <v>2907550</v>
      </c>
      <c r="H18" s="17">
        <f>ROUND(D65,0)</f>
        <v>1125360</v>
      </c>
    </row>
    <row r="19" spans="2:8" s="2" customFormat="1" ht="15" customHeight="1">
      <c r="B19" s="35" t="s">
        <v>82</v>
      </c>
      <c r="C19" s="40">
        <f>C90</f>
        <v>20.01</v>
      </c>
      <c r="D19" s="40">
        <f>D90</f>
        <v>20.01</v>
      </c>
      <c r="E19" s="28"/>
      <c r="F19" s="35" t="s">
        <v>82</v>
      </c>
      <c r="G19" s="17">
        <f>ROUND(C91,0)</f>
        <v>160069</v>
      </c>
      <c r="H19" s="17">
        <f>ROUND(D91,0)</f>
        <v>160069</v>
      </c>
    </row>
    <row r="20" spans="2:8" s="2" customFormat="1" ht="15" customHeight="1">
      <c r="B20" s="35" t="s">
        <v>23</v>
      </c>
      <c r="C20" s="40">
        <f>C115</f>
        <v>79.14999999999999</v>
      </c>
      <c r="D20" s="40">
        <f>D115</f>
        <v>55.18</v>
      </c>
      <c r="E20" s="28"/>
      <c r="F20" s="35" t="s">
        <v>23</v>
      </c>
      <c r="G20" s="17">
        <f>ROUND(C116,0)</f>
        <v>633245</v>
      </c>
      <c r="H20" s="17">
        <f>ROUND(D116,0)</f>
        <v>441431</v>
      </c>
    </row>
    <row r="21" spans="2:8" s="2" customFormat="1" ht="15" customHeight="1">
      <c r="B21" s="35" t="s">
        <v>21</v>
      </c>
      <c r="C21" s="40">
        <f>C141</f>
        <v>12.97</v>
      </c>
      <c r="D21" s="40">
        <f>D141</f>
        <v>10.63</v>
      </c>
      <c r="E21" s="28"/>
      <c r="F21" s="35" t="s">
        <v>21</v>
      </c>
      <c r="G21" s="17">
        <f>ROUND(C142,0)</f>
        <v>103737</v>
      </c>
      <c r="H21" s="17">
        <f>ROUND(D142,0)</f>
        <v>85038</v>
      </c>
    </row>
    <row r="22" spans="2:8" s="2" customFormat="1" ht="15" customHeight="1">
      <c r="B22" s="35" t="s">
        <v>22</v>
      </c>
      <c r="C22" s="40">
        <f>C170</f>
        <v>25.31</v>
      </c>
      <c r="D22" s="40">
        <f>D170</f>
        <v>14.7</v>
      </c>
      <c r="E22" s="28"/>
      <c r="F22" s="35" t="s">
        <v>22</v>
      </c>
      <c r="G22" s="17">
        <f>ROUND(C171,0)</f>
        <v>202460</v>
      </c>
      <c r="H22" s="17">
        <f>ROUND(D171,0)</f>
        <v>117609</v>
      </c>
    </row>
    <row r="23" spans="2:8" s="2" customFormat="1" ht="15" customHeight="1">
      <c r="B23" s="36" t="s">
        <v>118</v>
      </c>
      <c r="C23" s="41">
        <f>SUM(C17:C22)</f>
        <v>518.5799999999999</v>
      </c>
      <c r="D23" s="41">
        <f>SUM(D17:D22)</f>
        <v>257.14</v>
      </c>
      <c r="E23" s="28"/>
      <c r="F23" s="36" t="str">
        <f>"Annual cost for all "&amp;TEXT(NumClients,"0,000")&amp;" clients"</f>
        <v>Annual cost for all 8,000 clients</v>
      </c>
      <c r="G23" s="18">
        <f>ROUND(SUM(G17:G22),0)</f>
        <v>4148731</v>
      </c>
      <c r="H23" s="18">
        <f>ROUND(SUM(H17:H22),0)</f>
        <v>2057076</v>
      </c>
    </row>
    <row r="25" spans="2:3" ht="15" customHeight="1">
      <c r="B25" s="268" t="s">
        <v>301</v>
      </c>
      <c r="C25" s="269"/>
    </row>
    <row r="26" spans="2:3" s="2" customFormat="1" ht="15" customHeight="1">
      <c r="B26" s="5" t="s">
        <v>65</v>
      </c>
      <c r="C26" s="19">
        <f>NumClients</f>
        <v>8000</v>
      </c>
    </row>
    <row r="27" ht="15" customHeight="1"/>
    <row r="28" spans="2:8" ht="19.5" thickBot="1">
      <c r="B28" s="277" t="s">
        <v>83</v>
      </c>
      <c r="C28" s="277"/>
      <c r="D28" s="277"/>
      <c r="E28" s="277"/>
      <c r="F28" s="277"/>
      <c r="G28" s="277"/>
      <c r="H28" s="277"/>
    </row>
    <row r="29" ht="4.5" customHeight="1" thickBot="1"/>
    <row r="30" spans="2:8" ht="18.75">
      <c r="B30" s="267" t="s">
        <v>12</v>
      </c>
      <c r="C30" s="267"/>
      <c r="D30" s="267"/>
      <c r="E30" s="267"/>
      <c r="F30" s="267"/>
      <c r="G30" s="267"/>
      <c r="H30" s="267"/>
    </row>
    <row r="31" ht="13.5" customHeight="1"/>
    <row r="32" spans="2:4" ht="15" customHeight="1">
      <c r="B32" s="270" t="s">
        <v>66</v>
      </c>
      <c r="C32" s="271"/>
      <c r="D32" s="272"/>
    </row>
    <row r="33" spans="2:4" s="8" customFormat="1" ht="39.75" customHeight="1">
      <c r="B33" s="5"/>
      <c r="C33" s="7" t="s">
        <v>98</v>
      </c>
      <c r="D33" s="7" t="s">
        <v>1</v>
      </c>
    </row>
    <row r="34" spans="2:4" s="8" customFormat="1" ht="15" customHeight="1">
      <c r="B34" s="5" t="s">
        <v>118</v>
      </c>
      <c r="C34" s="20">
        <f>C58</f>
        <v>17.7</v>
      </c>
      <c r="D34" s="20">
        <f>D58</f>
        <v>15.950000000000001</v>
      </c>
    </row>
    <row r="35" spans="2:4" s="8" customFormat="1" ht="15" customHeight="1">
      <c r="B35" s="6" t="str">
        <f>"Annual cost for all "&amp;TEXT(NumClients,"0,000")&amp;" clients"</f>
        <v>Annual cost for all 8,000 clients</v>
      </c>
      <c r="C35" s="20">
        <f>G58</f>
        <v>141669.5</v>
      </c>
      <c r="D35" s="20">
        <f>H58</f>
        <v>127569.26</v>
      </c>
    </row>
    <row r="36" ht="12.75" customHeight="1"/>
    <row r="37" ht="13.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2.75" customHeight="1"/>
    <row r="49" spans="2:8" ht="33.75" customHeight="1">
      <c r="B49" s="273" t="s">
        <v>223</v>
      </c>
      <c r="C49" s="274"/>
      <c r="D49" s="275"/>
      <c r="F49" s="273" t="s">
        <v>281</v>
      </c>
      <c r="G49" s="274"/>
      <c r="H49" s="275"/>
    </row>
    <row r="50" spans="2:8" s="2" customFormat="1" ht="36.75" customHeight="1">
      <c r="B50" s="12"/>
      <c r="C50" s="7" t="s">
        <v>98</v>
      </c>
      <c r="D50" s="7" t="s">
        <v>1</v>
      </c>
      <c r="F50" s="12"/>
      <c r="G50" s="7" t="s">
        <v>98</v>
      </c>
      <c r="H50" s="7" t="s">
        <v>1</v>
      </c>
    </row>
    <row r="51" spans="2:8" s="2" customFormat="1" ht="15" customHeight="1">
      <c r="B51" s="14" t="s">
        <v>11</v>
      </c>
      <c r="C51" s="33">
        <f>Patching!C84</f>
        <v>6.4</v>
      </c>
      <c r="D51" s="33">
        <f>Patching!D84</f>
        <v>6.4</v>
      </c>
      <c r="E51" s="28"/>
      <c r="F51" s="14" t="s">
        <v>11</v>
      </c>
      <c r="G51" s="33">
        <f>Patching!E84</f>
        <v>51230.06</v>
      </c>
      <c r="H51" s="33">
        <f>Patching!F84</f>
        <v>51230.06</v>
      </c>
    </row>
    <row r="52" spans="2:8" s="2" customFormat="1" ht="24">
      <c r="B52" s="14" t="s">
        <v>7</v>
      </c>
      <c r="C52" s="33">
        <f>Patching!C85</f>
        <v>0.79</v>
      </c>
      <c r="D52" s="33">
        <f>Patching!D85</f>
        <v>0.79</v>
      </c>
      <c r="E52" s="28"/>
      <c r="F52" s="14" t="s">
        <v>7</v>
      </c>
      <c r="G52" s="33">
        <f>Patching!E85</f>
        <v>6286</v>
      </c>
      <c r="H52" s="33">
        <f>Patching!F85</f>
        <v>6286</v>
      </c>
    </row>
    <row r="53" spans="2:8" s="2" customFormat="1" ht="24">
      <c r="B53" s="34" t="s">
        <v>16</v>
      </c>
      <c r="C53" s="33">
        <f>Patching!C86</f>
        <v>0.34</v>
      </c>
      <c r="D53" s="33">
        <f>Patching!D86</f>
        <v>0.23</v>
      </c>
      <c r="E53" s="28"/>
      <c r="F53" s="34" t="s">
        <v>16</v>
      </c>
      <c r="G53" s="33">
        <f>Patching!E86</f>
        <v>2741.76</v>
      </c>
      <c r="H53" s="33">
        <f>Patching!F86</f>
        <v>1827.84</v>
      </c>
    </row>
    <row r="54" spans="2:8" s="2" customFormat="1" ht="24">
      <c r="B54" s="14" t="s">
        <v>10</v>
      </c>
      <c r="C54" s="33">
        <f>Patching!C87</f>
        <v>0</v>
      </c>
      <c r="D54" s="33">
        <f>Patching!D87</f>
        <v>0</v>
      </c>
      <c r="E54" s="28"/>
      <c r="F54" s="14" t="s">
        <v>10</v>
      </c>
      <c r="G54" s="33">
        <f>Patching!E87</f>
        <v>0</v>
      </c>
      <c r="H54" s="33">
        <f>Patching!F87</f>
        <v>0</v>
      </c>
    </row>
    <row r="55" spans="2:8" s="2" customFormat="1" ht="24">
      <c r="B55" s="14" t="s">
        <v>122</v>
      </c>
      <c r="C55" s="33">
        <f>Patching!C88</f>
        <v>0</v>
      </c>
      <c r="D55" s="33">
        <f>Patching!D88</f>
        <v>0</v>
      </c>
      <c r="E55" s="28"/>
      <c r="F55" s="14" t="s">
        <v>122</v>
      </c>
      <c r="G55" s="33">
        <f>Patching!E88</f>
        <v>0</v>
      </c>
      <c r="H55" s="33">
        <f>Patching!F88</f>
        <v>0</v>
      </c>
    </row>
    <row r="56" spans="2:8" s="2" customFormat="1" ht="24">
      <c r="B56" s="34" t="s">
        <v>159</v>
      </c>
      <c r="C56" s="33">
        <f>Patching!C89</f>
        <v>9.94</v>
      </c>
      <c r="D56" s="33">
        <f>Patching!D89</f>
        <v>6.63</v>
      </c>
      <c r="E56" s="28"/>
      <c r="F56" s="34" t="s">
        <v>159</v>
      </c>
      <c r="G56" s="33">
        <f>Patching!E89</f>
        <v>79543.24</v>
      </c>
      <c r="H56" s="33">
        <f>Patching!F89</f>
        <v>53028.92</v>
      </c>
    </row>
    <row r="57" spans="2:8" s="2" customFormat="1" ht="27" customHeight="1">
      <c r="B57" s="13" t="s">
        <v>304</v>
      </c>
      <c r="C57" s="33">
        <f>Patching!C90</f>
        <v>0.23</v>
      </c>
      <c r="D57" s="33">
        <f>Patching!D90</f>
        <v>1.9</v>
      </c>
      <c r="E57" s="28"/>
      <c r="F57" s="13" t="s">
        <v>304</v>
      </c>
      <c r="G57" s="33">
        <f>Patching!E90</f>
        <v>1868.44</v>
      </c>
      <c r="H57" s="33">
        <f>Patching!F90</f>
        <v>15196.44</v>
      </c>
    </row>
    <row r="58" spans="2:8" s="2" customFormat="1" ht="24">
      <c r="B58" s="32" t="s">
        <v>282</v>
      </c>
      <c r="C58" s="33">
        <f>Patching!C91</f>
        <v>17.7</v>
      </c>
      <c r="D58" s="33">
        <f>Patching!D91</f>
        <v>15.950000000000001</v>
      </c>
      <c r="E58" s="28"/>
      <c r="F58" s="32" t="str">
        <f>"Total annual cost for patch management tasks for "&amp;TEXT(NumClients,"0,000")&amp;" clients"</f>
        <v>Total annual cost for patch management tasks for 8,000 clients</v>
      </c>
      <c r="G58" s="33">
        <f>Patching!E91</f>
        <v>141669.5</v>
      </c>
      <c r="H58" s="33">
        <f>Patching!F91</f>
        <v>127569.26</v>
      </c>
    </row>
    <row r="59" ht="15" customHeight="1" thickBot="1"/>
    <row r="60" spans="2:9" ht="15" customHeight="1">
      <c r="B60" s="267" t="s">
        <v>13</v>
      </c>
      <c r="C60" s="267"/>
      <c r="D60" s="267"/>
      <c r="E60" s="267"/>
      <c r="F60" s="267"/>
      <c r="G60" s="267"/>
      <c r="H60" s="267"/>
      <c r="I60" s="2"/>
    </row>
    <row r="61" ht="15" customHeight="1"/>
    <row r="62" spans="2:4" ht="15" customHeight="1">
      <c r="B62" s="270" t="s">
        <v>14</v>
      </c>
      <c r="C62" s="271"/>
      <c r="D62" s="272"/>
    </row>
    <row r="63" spans="2:10" s="2" customFormat="1" ht="39" customHeight="1">
      <c r="B63" s="9"/>
      <c r="C63" s="7" t="s">
        <v>98</v>
      </c>
      <c r="D63" s="7" t="s">
        <v>1</v>
      </c>
      <c r="E63"/>
      <c r="F63"/>
      <c r="G63"/>
      <c r="H63"/>
      <c r="I63"/>
      <c r="J63"/>
    </row>
    <row r="64" spans="2:10" s="2" customFormat="1" ht="15" customHeight="1">
      <c r="B64" s="9" t="s">
        <v>118</v>
      </c>
      <c r="C64" s="21">
        <f>C84</f>
        <v>363.44</v>
      </c>
      <c r="D64" s="21">
        <f>D84</f>
        <v>140.67</v>
      </c>
      <c r="E64"/>
      <c r="F64"/>
      <c r="G64"/>
      <c r="H64"/>
      <c r="I64"/>
      <c r="J64"/>
    </row>
    <row r="65" spans="2:10" s="2" customFormat="1" ht="15" customHeight="1">
      <c r="B65" s="9" t="str">
        <f>"Annual cost for all "&amp;TEXT(NumClients,"0,000")&amp;" clients"</f>
        <v>Annual cost for all 8,000 clients</v>
      </c>
      <c r="C65" s="21">
        <f>G84</f>
        <v>2907550.08</v>
      </c>
      <c r="D65" s="21">
        <f>H84</f>
        <v>1125359.8399999999</v>
      </c>
      <c r="E65"/>
      <c r="F65"/>
      <c r="G65"/>
      <c r="H65"/>
      <c r="I65"/>
      <c r="J65"/>
    </row>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spans="2:8" ht="27.75" customHeight="1">
      <c r="B78" s="273" t="s">
        <v>153</v>
      </c>
      <c r="C78" s="274"/>
      <c r="D78" s="275"/>
      <c r="F78" s="273" t="s">
        <v>152</v>
      </c>
      <c r="G78" s="274"/>
      <c r="H78" s="275"/>
    </row>
    <row r="79" spans="2:8" s="2" customFormat="1" ht="39" customHeight="1">
      <c r="B79" s="9"/>
      <c r="C79" s="7" t="s">
        <v>98</v>
      </c>
      <c r="D79" s="7" t="s">
        <v>1</v>
      </c>
      <c r="F79" s="9"/>
      <c r="G79" s="7" t="s">
        <v>98</v>
      </c>
      <c r="H79" s="7" t="s">
        <v>1</v>
      </c>
    </row>
    <row r="80" spans="2:8" s="2" customFormat="1" ht="24">
      <c r="B80" s="30" t="s">
        <v>34</v>
      </c>
      <c r="C80" s="33">
        <f>Support!C46</f>
        <v>52.02</v>
      </c>
      <c r="D80" s="33">
        <f>Support!D46</f>
        <v>42.84</v>
      </c>
      <c r="E80" s="28"/>
      <c r="F80" s="30" t="s">
        <v>34</v>
      </c>
      <c r="G80" s="31">
        <f>Support!E46</f>
        <v>416160</v>
      </c>
      <c r="H80" s="31">
        <f>Support!F46</f>
        <v>342720</v>
      </c>
    </row>
    <row r="81" spans="2:8" s="2" customFormat="1" ht="24">
      <c r="B81" s="30" t="s">
        <v>35</v>
      </c>
      <c r="C81" s="33">
        <f>Support!C47</f>
        <v>16.66</v>
      </c>
      <c r="D81" s="33">
        <f>Support!D47</f>
        <v>10.99</v>
      </c>
      <c r="E81" s="28"/>
      <c r="F81" s="30" t="s">
        <v>35</v>
      </c>
      <c r="G81" s="31">
        <f>Support!E47</f>
        <v>133297.2</v>
      </c>
      <c r="H81" s="31">
        <f>Support!F47</f>
        <v>87893.6</v>
      </c>
    </row>
    <row r="82" spans="2:8" s="2" customFormat="1" ht="24">
      <c r="B82" s="30" t="s">
        <v>233</v>
      </c>
      <c r="C82" s="33">
        <f>Support!C48</f>
        <v>203.2</v>
      </c>
      <c r="D82" s="33">
        <f>Support!D48</f>
        <v>19.25</v>
      </c>
      <c r="E82" s="28"/>
      <c r="F82" s="30" t="s">
        <v>233</v>
      </c>
      <c r="G82" s="31">
        <f>Support!E48</f>
        <v>1625579.28</v>
      </c>
      <c r="H82" s="31">
        <f>Support!F48</f>
        <v>153968.64</v>
      </c>
    </row>
    <row r="83" spans="2:8" s="2" customFormat="1" ht="36">
      <c r="B83" s="30" t="s">
        <v>36</v>
      </c>
      <c r="C83" s="33">
        <f>Support!C49</f>
        <v>91.56</v>
      </c>
      <c r="D83" s="33">
        <f>Support!D49</f>
        <v>67.6</v>
      </c>
      <c r="E83" s="28"/>
      <c r="F83" s="30" t="s">
        <v>36</v>
      </c>
      <c r="G83" s="31">
        <f>Support!E49</f>
        <v>732513.6</v>
      </c>
      <c r="H83" s="31">
        <f>Support!F49</f>
        <v>540777.6</v>
      </c>
    </row>
    <row r="84" spans="2:8" s="2" customFormat="1" ht="34.5" customHeight="1">
      <c r="B84" s="32" t="s">
        <v>280</v>
      </c>
      <c r="C84" s="33">
        <f>Support!C50</f>
        <v>363.44</v>
      </c>
      <c r="D84" s="33">
        <f>Support!D50</f>
        <v>140.67</v>
      </c>
      <c r="E84" s="28"/>
      <c r="F84" s="32" t="str">
        <f>"Total annual cost for help desk support and services tasks for "&amp;TEXT(NumClients,"0,000")&amp;" clients"</f>
        <v>Total annual cost for help desk support and services tasks for 8,000 clients</v>
      </c>
      <c r="G84" s="31">
        <f>Support!E50</f>
        <v>2907550.08</v>
      </c>
      <c r="H84" s="31">
        <f>Support!F50</f>
        <v>1125359.8399999999</v>
      </c>
    </row>
    <row r="85" ht="15" customHeight="1" thickBot="1"/>
    <row r="86" spans="2:8" ht="15" customHeight="1">
      <c r="B86" s="267" t="s">
        <v>82</v>
      </c>
      <c r="C86" s="267"/>
      <c r="D86" s="267"/>
      <c r="E86" s="267"/>
      <c r="F86" s="267"/>
      <c r="G86" s="267"/>
      <c r="H86" s="267"/>
    </row>
    <row r="87" ht="15" customHeight="1"/>
    <row r="88" spans="2:4" ht="15" customHeight="1">
      <c r="B88" s="278" t="s">
        <v>84</v>
      </c>
      <c r="C88" s="279"/>
      <c r="D88" s="280"/>
    </row>
    <row r="89" spans="2:4" ht="39" customHeight="1">
      <c r="B89" s="9"/>
      <c r="C89" s="7" t="s">
        <v>98</v>
      </c>
      <c r="D89" s="7" t="s">
        <v>1</v>
      </c>
    </row>
    <row r="90" spans="2:4" ht="15" customHeight="1">
      <c r="B90" s="9" t="s">
        <v>118</v>
      </c>
      <c r="C90" s="22">
        <f>Inventory!C33</f>
        <v>20.01</v>
      </c>
      <c r="D90" s="22">
        <f>Inventory!D33</f>
        <v>20.01</v>
      </c>
    </row>
    <row r="91" spans="2:4" ht="15" customHeight="1">
      <c r="B91" s="9" t="str">
        <f>"Annual cost for all "&amp;TEXT(NumClients,"0,000")&amp;" clients"</f>
        <v>Annual cost for all 8,000 clients</v>
      </c>
      <c r="C91" s="22">
        <f>Inventory!E33</f>
        <v>160068.8</v>
      </c>
      <c r="D91" s="22">
        <f>Inventory!F33</f>
        <v>160068.8</v>
      </c>
    </row>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spans="2:8" ht="30" customHeight="1">
      <c r="B105" s="273" t="s">
        <v>120</v>
      </c>
      <c r="C105" s="274"/>
      <c r="D105" s="275"/>
      <c r="F105" s="273" t="s">
        <v>148</v>
      </c>
      <c r="G105" s="274"/>
      <c r="H105" s="275"/>
    </row>
    <row r="106" spans="2:8" ht="39" customHeight="1">
      <c r="B106" s="7"/>
      <c r="C106" s="7" t="s">
        <v>2</v>
      </c>
      <c r="D106" s="7" t="s">
        <v>1</v>
      </c>
      <c r="F106" s="7"/>
      <c r="G106" s="7" t="s">
        <v>2</v>
      </c>
      <c r="H106" s="7" t="s">
        <v>1</v>
      </c>
    </row>
    <row r="107" spans="2:8" s="29" customFormat="1" ht="24.75">
      <c r="B107" s="30" t="s">
        <v>40</v>
      </c>
      <c r="C107" s="37">
        <f>Inventory!C31</f>
        <v>0.28</v>
      </c>
      <c r="D107" s="37">
        <f>Inventory!D31</f>
        <v>0.28</v>
      </c>
      <c r="F107" s="30" t="s">
        <v>40</v>
      </c>
      <c r="G107" s="37">
        <f>Inventory!E31</f>
        <v>2244.8</v>
      </c>
      <c r="H107" s="37">
        <f>Inventory!F31</f>
        <v>2244.8</v>
      </c>
    </row>
    <row r="108" spans="2:8" s="29" customFormat="1" ht="15">
      <c r="B108" s="30" t="s">
        <v>41</v>
      </c>
      <c r="C108" s="37">
        <f>Inventory!C32</f>
        <v>19.73</v>
      </c>
      <c r="D108" s="37">
        <f>Inventory!D32</f>
        <v>19.73</v>
      </c>
      <c r="F108" s="30" t="s">
        <v>41</v>
      </c>
      <c r="G108" s="37">
        <f>Inventory!E32</f>
        <v>157824</v>
      </c>
      <c r="H108" s="37">
        <f>Inventory!F32</f>
        <v>157824</v>
      </c>
    </row>
    <row r="109" spans="2:8" s="29" customFormat="1" ht="24.75">
      <c r="B109" s="32" t="s">
        <v>277</v>
      </c>
      <c r="C109" s="37">
        <f>Inventory!C33</f>
        <v>20.01</v>
      </c>
      <c r="D109" s="37">
        <f>Inventory!D33</f>
        <v>20.01</v>
      </c>
      <c r="F109" s="32" t="str">
        <f>"Total annual cost for asset inventory tasks for "&amp;TEXT(NumClients,"0,000")&amp;" clients"</f>
        <v>Total annual cost for asset inventory tasks for 8,000 clients</v>
      </c>
      <c r="G109" s="37">
        <f>Inventory!E33</f>
        <v>160068.8</v>
      </c>
      <c r="H109" s="37">
        <f>Inventory!F33</f>
        <v>160068.8</v>
      </c>
    </row>
    <row r="110" ht="15" customHeight="1" thickBot="1"/>
    <row r="111" spans="2:8" ht="15" customHeight="1">
      <c r="B111" s="267" t="s">
        <v>23</v>
      </c>
      <c r="C111" s="267"/>
      <c r="D111" s="267"/>
      <c r="E111" s="267"/>
      <c r="F111" s="267"/>
      <c r="G111" s="267"/>
      <c r="H111" s="267"/>
    </row>
    <row r="112" ht="15" customHeight="1"/>
    <row r="113" spans="2:4" ht="15" customHeight="1">
      <c r="B113" s="264" t="s">
        <v>64</v>
      </c>
      <c r="C113" s="265"/>
      <c r="D113" s="266"/>
    </row>
    <row r="114" spans="2:4" ht="39" customHeight="1">
      <c r="B114" s="9"/>
      <c r="C114" s="7" t="s">
        <v>98</v>
      </c>
      <c r="D114" s="7" t="s">
        <v>1</v>
      </c>
    </row>
    <row r="115" spans="2:4" ht="15" customHeight="1">
      <c r="B115" s="9" t="s">
        <v>118</v>
      </c>
      <c r="C115" s="22">
        <f>MAD!C46</f>
        <v>79.14999999999999</v>
      </c>
      <c r="D115" s="22">
        <f>MAD!D46</f>
        <v>55.18</v>
      </c>
    </row>
    <row r="116" spans="2:4" ht="15" customHeight="1">
      <c r="B116" s="9" t="str">
        <f>"Annual cost for all "&amp;TEXT(NumClients,"0,000")&amp;" clients"</f>
        <v>Annual cost for all 8,000 clients</v>
      </c>
      <c r="C116" s="22">
        <f>MAD!E46</f>
        <v>633244.96</v>
      </c>
      <c r="D116" s="22">
        <f>MAD!F46</f>
        <v>441431.36</v>
      </c>
    </row>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spans="2:8" ht="30" customHeight="1">
      <c r="B130" s="273" t="s">
        <v>226</v>
      </c>
      <c r="C130" s="274"/>
      <c r="D130" s="275"/>
      <c r="F130" s="273" t="s">
        <v>302</v>
      </c>
      <c r="G130" s="274"/>
      <c r="H130" s="275"/>
    </row>
    <row r="131" spans="2:8" ht="39" customHeight="1">
      <c r="B131" s="12"/>
      <c r="C131" s="27" t="s">
        <v>129</v>
      </c>
      <c r="D131" s="12" t="s">
        <v>1</v>
      </c>
      <c r="F131" s="12"/>
      <c r="G131" s="27" t="s">
        <v>129</v>
      </c>
      <c r="H131" s="12" t="s">
        <v>1</v>
      </c>
    </row>
    <row r="132" spans="2:8" ht="15" customHeight="1">
      <c r="B132" s="15" t="s">
        <v>48</v>
      </c>
      <c r="C132" s="23">
        <f>MAD!C43</f>
        <v>7.9</v>
      </c>
      <c r="D132" s="23">
        <f>MAD!D43</f>
        <v>6.4</v>
      </c>
      <c r="F132" s="15" t="s">
        <v>48</v>
      </c>
      <c r="G132" s="23">
        <f>MAD!E43</f>
        <v>63203.12</v>
      </c>
      <c r="H132" s="23">
        <f>MAD!F43</f>
        <v>51196.48</v>
      </c>
    </row>
    <row r="133" spans="2:8" ht="15" customHeight="1">
      <c r="B133" s="15" t="s">
        <v>49</v>
      </c>
      <c r="C133" s="23">
        <f>MAD!C44</f>
        <v>55.3</v>
      </c>
      <c r="D133" s="23">
        <f>MAD!D44</f>
        <v>38.4</v>
      </c>
      <c r="F133" s="15" t="s">
        <v>49</v>
      </c>
      <c r="G133" s="23">
        <f>MAD!E44</f>
        <v>442421.84</v>
      </c>
      <c r="H133" s="23">
        <f>MAD!F44</f>
        <v>307178.88</v>
      </c>
    </row>
    <row r="134" spans="2:8" ht="15" customHeight="1">
      <c r="B134" s="15" t="s">
        <v>50</v>
      </c>
      <c r="C134" s="23">
        <f>MAD!C45</f>
        <v>15.95</v>
      </c>
      <c r="D134" s="23">
        <f>MAD!D45</f>
        <v>10.38</v>
      </c>
      <c r="F134" s="15" t="s">
        <v>50</v>
      </c>
      <c r="G134" s="23">
        <f>MAD!E45</f>
        <v>127620</v>
      </c>
      <c r="H134" s="23">
        <f>MAD!F45</f>
        <v>83056</v>
      </c>
    </row>
    <row r="135" spans="2:8" ht="22.5" customHeight="1">
      <c r="B135" s="24" t="s">
        <v>278</v>
      </c>
      <c r="C135" s="23">
        <f>MAD!C46</f>
        <v>79.14999999999999</v>
      </c>
      <c r="D135" s="23">
        <f>MAD!D46</f>
        <v>55.18</v>
      </c>
      <c r="F135" s="24" t="str">
        <f>"Total annual cost for move, add, delete tasks for "&amp;TEXT(NumClients,"0,000")&amp;" clients"</f>
        <v>Total annual cost for move, add, delete tasks for 8,000 clients</v>
      </c>
      <c r="G135" s="23">
        <f>MAD!E46</f>
        <v>633244.96</v>
      </c>
      <c r="H135" s="23">
        <f>MAD!F46</f>
        <v>441431.36</v>
      </c>
    </row>
    <row r="136" ht="15" customHeight="1" thickBot="1"/>
    <row r="137" spans="2:8" ht="15" customHeight="1">
      <c r="B137" s="267" t="s">
        <v>21</v>
      </c>
      <c r="C137" s="267"/>
      <c r="D137" s="267"/>
      <c r="E137" s="267"/>
      <c r="F137" s="267"/>
      <c r="G137" s="267"/>
      <c r="H137" s="267"/>
    </row>
    <row r="138" ht="15" customHeight="1"/>
    <row r="139" spans="2:4" ht="15" customHeight="1">
      <c r="B139" s="270" t="s">
        <v>303</v>
      </c>
      <c r="C139" s="271"/>
      <c r="D139" s="272"/>
    </row>
    <row r="140" spans="2:12" s="2" customFormat="1" ht="39" customHeight="1">
      <c r="B140" s="9"/>
      <c r="C140" s="7" t="s">
        <v>98</v>
      </c>
      <c r="D140" s="7" t="s">
        <v>1</v>
      </c>
      <c r="E140"/>
      <c r="F140"/>
      <c r="G140"/>
      <c r="H140"/>
      <c r="I140"/>
      <c r="J140"/>
      <c r="K140"/>
      <c r="L140"/>
    </row>
    <row r="141" spans="2:12" s="2" customFormat="1" ht="15" customHeight="1">
      <c r="B141" s="9" t="s">
        <v>118</v>
      </c>
      <c r="C141" s="38">
        <f>C164</f>
        <v>12.97</v>
      </c>
      <c r="D141" s="38">
        <f>D164</f>
        <v>10.63</v>
      </c>
      <c r="E141"/>
      <c r="F141"/>
      <c r="G141"/>
      <c r="H141"/>
      <c r="I141"/>
      <c r="J141"/>
      <c r="K141"/>
      <c r="L141"/>
    </row>
    <row r="142" spans="2:12" s="2" customFormat="1" ht="15" customHeight="1">
      <c r="B142" s="9" t="str">
        <f>"Annual cost for all "&amp;TEXT(NumClients,"0,000")&amp;" clients"</f>
        <v>Annual cost for all 8,000 clients</v>
      </c>
      <c r="C142" s="20">
        <f>G164</f>
        <v>103736.5</v>
      </c>
      <c r="D142" s="20">
        <f>H164</f>
        <v>85038.1</v>
      </c>
      <c r="E142"/>
      <c r="F142"/>
      <c r="G142"/>
      <c r="H142"/>
      <c r="I142"/>
      <c r="J142"/>
      <c r="K142"/>
      <c r="L142"/>
    </row>
    <row r="143" spans="2:12" s="2" customFormat="1" ht="15" customHeight="1">
      <c r="B143"/>
      <c r="C143"/>
      <c r="D143"/>
      <c r="E143"/>
      <c r="F143"/>
      <c r="G143"/>
      <c r="H143"/>
      <c r="I143"/>
      <c r="J143"/>
      <c r="K143"/>
      <c r="L143"/>
    </row>
    <row r="144" spans="2:12" s="2" customFormat="1" ht="15" customHeight="1">
      <c r="B144"/>
      <c r="C144"/>
      <c r="D144"/>
      <c r="E144"/>
      <c r="F144"/>
      <c r="G144"/>
      <c r="H144"/>
      <c r="I144"/>
      <c r="J144"/>
      <c r="K144"/>
      <c r="L144"/>
    </row>
    <row r="145" spans="2:12" s="2" customFormat="1" ht="15" customHeight="1">
      <c r="B145"/>
      <c r="C145"/>
      <c r="D145"/>
      <c r="E145"/>
      <c r="F145"/>
      <c r="G145"/>
      <c r="H145"/>
      <c r="I145"/>
      <c r="J145"/>
      <c r="K145"/>
      <c r="L145"/>
    </row>
    <row r="146" spans="2:12" s="2" customFormat="1" ht="15" customHeight="1">
      <c r="B146"/>
      <c r="C146"/>
      <c r="D146"/>
      <c r="E146"/>
      <c r="F146"/>
      <c r="G146"/>
      <c r="H146"/>
      <c r="I146"/>
      <c r="J146"/>
      <c r="K146"/>
      <c r="L146"/>
    </row>
    <row r="147" spans="2:12" s="2" customFormat="1" ht="15" customHeight="1">
      <c r="B147"/>
      <c r="C147"/>
      <c r="D147"/>
      <c r="E147"/>
      <c r="F147"/>
      <c r="G147"/>
      <c r="H147"/>
      <c r="I147"/>
      <c r="J147"/>
      <c r="K147"/>
      <c r="L147"/>
    </row>
    <row r="148" spans="2:12" s="2" customFormat="1" ht="15" customHeight="1">
      <c r="B148"/>
      <c r="C148"/>
      <c r="D148"/>
      <c r="E148"/>
      <c r="F148"/>
      <c r="G148"/>
      <c r="H148"/>
      <c r="I148"/>
      <c r="J148"/>
      <c r="K148"/>
      <c r="L148"/>
    </row>
    <row r="149" spans="2:12" s="2" customFormat="1" ht="15" customHeight="1">
      <c r="B149"/>
      <c r="C149"/>
      <c r="D149"/>
      <c r="E149"/>
      <c r="F149"/>
      <c r="G149"/>
      <c r="H149"/>
      <c r="I149"/>
      <c r="J149"/>
      <c r="K149"/>
      <c r="L149"/>
    </row>
    <row r="150" spans="2:12" s="2" customFormat="1" ht="15" customHeight="1">
      <c r="B150"/>
      <c r="C150"/>
      <c r="D150"/>
      <c r="E150"/>
      <c r="F150"/>
      <c r="G150"/>
      <c r="H150"/>
      <c r="I150"/>
      <c r="J150"/>
      <c r="K150"/>
      <c r="L150"/>
    </row>
    <row r="151" spans="2:12" s="2" customFormat="1" ht="15" customHeight="1">
      <c r="B151"/>
      <c r="C151"/>
      <c r="D151"/>
      <c r="E151"/>
      <c r="F151"/>
      <c r="G151"/>
      <c r="H151"/>
      <c r="I151"/>
      <c r="J151"/>
      <c r="K151"/>
      <c r="L151"/>
    </row>
    <row r="152" spans="2:12" s="2" customFormat="1" ht="15" customHeight="1">
      <c r="B152"/>
      <c r="C152"/>
      <c r="D152"/>
      <c r="E152"/>
      <c r="F152"/>
      <c r="G152"/>
      <c r="H152"/>
      <c r="I152"/>
      <c r="J152"/>
      <c r="K152"/>
      <c r="L152"/>
    </row>
    <row r="153" spans="2:12" s="2" customFormat="1" ht="15" customHeight="1">
      <c r="B153"/>
      <c r="C153"/>
      <c r="D153"/>
      <c r="E153"/>
      <c r="F153"/>
      <c r="G153"/>
      <c r="H153"/>
      <c r="I153"/>
      <c r="J153"/>
      <c r="K153"/>
      <c r="L153"/>
    </row>
    <row r="154" spans="2:12" s="2" customFormat="1" ht="15" customHeight="1">
      <c r="B154"/>
      <c r="C154"/>
      <c r="D154"/>
      <c r="E154"/>
      <c r="F154"/>
      <c r="G154"/>
      <c r="H154"/>
      <c r="I154"/>
      <c r="J154"/>
      <c r="K154"/>
      <c r="L154"/>
    </row>
    <row r="155" spans="2:12" s="2" customFormat="1" ht="15" customHeight="1">
      <c r="B155"/>
      <c r="C155"/>
      <c r="D155"/>
      <c r="E155"/>
      <c r="F155"/>
      <c r="G155"/>
      <c r="H155"/>
      <c r="I155"/>
      <c r="J155"/>
      <c r="K155"/>
      <c r="L155"/>
    </row>
    <row r="156" spans="2:12" s="2" customFormat="1" ht="15" customHeight="1">
      <c r="B156"/>
      <c r="C156"/>
      <c r="D156"/>
      <c r="E156"/>
      <c r="F156"/>
      <c r="G156"/>
      <c r="H156"/>
      <c r="I156"/>
      <c r="J156"/>
      <c r="K156"/>
      <c r="L156"/>
    </row>
    <row r="157" spans="2:8" ht="30" customHeight="1">
      <c r="B157" s="273" t="s">
        <v>224</v>
      </c>
      <c r="C157" s="274"/>
      <c r="D157" s="275"/>
      <c r="F157" s="273" t="s">
        <v>225</v>
      </c>
      <c r="G157" s="274"/>
      <c r="H157" s="275"/>
    </row>
    <row r="158" spans="2:12" s="2" customFormat="1" ht="39" customHeight="1">
      <c r="B158" s="26"/>
      <c r="C158" s="16" t="s">
        <v>129</v>
      </c>
      <c r="D158" s="7" t="s">
        <v>1</v>
      </c>
      <c r="F158" s="26"/>
      <c r="G158" s="16" t="s">
        <v>129</v>
      </c>
      <c r="H158" s="7" t="s">
        <v>1</v>
      </c>
      <c r="I158"/>
      <c r="J158"/>
      <c r="K158"/>
      <c r="L158"/>
    </row>
    <row r="159" spans="2:8" ht="15" customHeight="1">
      <c r="B159" s="10" t="s">
        <v>207</v>
      </c>
      <c r="C159" s="23">
        <f>Compliance!C42</f>
        <v>0.12</v>
      </c>
      <c r="D159" s="23">
        <f>Compliance!D42</f>
        <v>0.12</v>
      </c>
      <c r="F159" s="10" t="s">
        <v>207</v>
      </c>
      <c r="G159" s="23">
        <f>Compliance!E42</f>
        <v>982.1</v>
      </c>
      <c r="H159" s="23">
        <f>Compliance!F42</f>
        <v>982.1</v>
      </c>
    </row>
    <row r="160" spans="2:8" ht="15" customHeight="1">
      <c r="B160" s="10" t="s">
        <v>208</v>
      </c>
      <c r="C160" s="23">
        <f>Compliance!C43</f>
        <v>8.63</v>
      </c>
      <c r="D160" s="23">
        <f>Compliance!D43</f>
        <v>8.63</v>
      </c>
      <c r="F160" s="10" t="s">
        <v>208</v>
      </c>
      <c r="G160" s="23">
        <f>Compliance!E43</f>
        <v>69048</v>
      </c>
      <c r="H160" s="23">
        <f>Compliance!F43</f>
        <v>69048</v>
      </c>
    </row>
    <row r="161" spans="2:8" ht="24">
      <c r="B161" s="10" t="s">
        <v>211</v>
      </c>
      <c r="C161" s="23">
        <f>Compliance!C44</f>
        <v>2.95</v>
      </c>
      <c r="D161" s="23">
        <f>Compliance!D44</f>
        <v>1.47</v>
      </c>
      <c r="F161" s="10" t="s">
        <v>211</v>
      </c>
      <c r="G161" s="23">
        <f>Compliance!E44</f>
        <v>23587.2</v>
      </c>
      <c r="H161" s="23">
        <f>Compliance!F44</f>
        <v>11793.6</v>
      </c>
    </row>
    <row r="162" spans="2:8" ht="24">
      <c r="B162" s="10" t="s">
        <v>212</v>
      </c>
      <c r="C162" s="23">
        <f>Compliance!C45</f>
        <v>0.86</v>
      </c>
      <c r="D162" s="23">
        <f>Compliance!D45</f>
        <v>0.2</v>
      </c>
      <c r="F162" s="10" t="s">
        <v>212</v>
      </c>
      <c r="G162" s="23">
        <f>Compliance!E45</f>
        <v>6904.8</v>
      </c>
      <c r="H162" s="23">
        <f>Compliance!F45</f>
        <v>1607.2</v>
      </c>
    </row>
    <row r="163" spans="2:8" ht="24">
      <c r="B163" s="10" t="s">
        <v>213</v>
      </c>
      <c r="C163" s="23">
        <f>Compliance!C46</f>
        <v>0.4</v>
      </c>
      <c r="D163" s="23">
        <f>Compliance!D46</f>
        <v>0.2</v>
      </c>
      <c r="F163" s="10" t="s">
        <v>213</v>
      </c>
      <c r="G163" s="23">
        <f>Compliance!E46</f>
        <v>3214.4</v>
      </c>
      <c r="H163" s="23">
        <f>Compliance!F46</f>
        <v>1607.2</v>
      </c>
    </row>
    <row r="164" spans="2:8" ht="24">
      <c r="B164" s="11" t="s">
        <v>283</v>
      </c>
      <c r="C164" s="23">
        <f>Compliance!C47</f>
        <v>12.97</v>
      </c>
      <c r="D164" s="23">
        <f>Compliance!D47</f>
        <v>10.63</v>
      </c>
      <c r="F164" s="11" t="str">
        <f>"Total annual cost for asset inventory tasks for "&amp;TEXT(NumClients,"0,000")&amp;" clients"</f>
        <v>Total annual cost for asset inventory tasks for 8,000 clients</v>
      </c>
      <c r="G164" s="23">
        <f>Compliance!E47</f>
        <v>103736.5</v>
      </c>
      <c r="H164" s="23">
        <f>Compliance!F47</f>
        <v>85038.1</v>
      </c>
    </row>
    <row r="165" ht="15" customHeight="1" thickBot="1"/>
    <row r="166" spans="2:8" ht="15" customHeight="1">
      <c r="B166" s="267" t="s">
        <v>22</v>
      </c>
      <c r="C166" s="267"/>
      <c r="D166" s="267"/>
      <c r="E166" s="267"/>
      <c r="F166" s="267"/>
      <c r="G166" s="267"/>
      <c r="H166" s="267"/>
    </row>
    <row r="167" ht="15" customHeight="1"/>
    <row r="168" spans="2:4" ht="15" customHeight="1">
      <c r="B168" s="270" t="s">
        <v>63</v>
      </c>
      <c r="C168" s="271"/>
      <c r="D168" s="272"/>
    </row>
    <row r="169" spans="2:9" s="2" customFormat="1" ht="39" customHeight="1">
      <c r="B169" s="9"/>
      <c r="C169" s="7" t="s">
        <v>98</v>
      </c>
      <c r="D169" s="7" t="s">
        <v>1</v>
      </c>
      <c r="E169"/>
      <c r="F169"/>
      <c r="G169"/>
      <c r="H169"/>
      <c r="I169"/>
    </row>
    <row r="170" spans="2:9" s="2" customFormat="1" ht="15" customHeight="1">
      <c r="B170" s="9" t="s">
        <v>118</v>
      </c>
      <c r="C170" s="22">
        <f>Security!C65</f>
        <v>25.31</v>
      </c>
      <c r="D170" s="22">
        <f>Security!D65</f>
        <v>14.7</v>
      </c>
      <c r="E170"/>
      <c r="F170"/>
      <c r="G170"/>
      <c r="H170"/>
      <c r="I170"/>
    </row>
    <row r="171" spans="2:9" s="2" customFormat="1" ht="15" customHeight="1">
      <c r="B171" s="9" t="str">
        <f>"Annual cost for all "&amp;TEXT(NumClients,"0,000")&amp;" clients"</f>
        <v>Annual cost for all 8,000 clients</v>
      </c>
      <c r="C171" s="22">
        <f>Security!E65</f>
        <v>202459.84</v>
      </c>
      <c r="D171" s="22">
        <f>Security!F65</f>
        <v>117608.73999999999</v>
      </c>
      <c r="E171"/>
      <c r="F171"/>
      <c r="G171"/>
      <c r="H171"/>
      <c r="I171"/>
    </row>
    <row r="172" spans="2:9" s="2" customFormat="1" ht="15" customHeight="1">
      <c r="B172"/>
      <c r="C172"/>
      <c r="D172"/>
      <c r="E172"/>
      <c r="F172"/>
      <c r="G172"/>
      <c r="H172"/>
      <c r="I172"/>
    </row>
    <row r="173" spans="2:9" s="2" customFormat="1" ht="15" customHeight="1">
      <c r="B173"/>
      <c r="C173"/>
      <c r="D173"/>
      <c r="E173"/>
      <c r="F173"/>
      <c r="G173"/>
      <c r="H173"/>
      <c r="I173"/>
    </row>
    <row r="174" spans="2:9" s="2" customFormat="1" ht="15" customHeight="1">
      <c r="B174"/>
      <c r="C174"/>
      <c r="D174"/>
      <c r="E174"/>
      <c r="F174"/>
      <c r="G174"/>
      <c r="H174"/>
      <c r="I174"/>
    </row>
    <row r="175" spans="2:9" s="2" customFormat="1" ht="15" customHeight="1">
      <c r="B175"/>
      <c r="C175"/>
      <c r="D175"/>
      <c r="E175"/>
      <c r="F175"/>
      <c r="G175"/>
      <c r="H175"/>
      <c r="I175"/>
    </row>
    <row r="176" spans="2:9" s="2" customFormat="1" ht="15" customHeight="1">
      <c r="B176"/>
      <c r="C176"/>
      <c r="D176"/>
      <c r="E176"/>
      <c r="F176"/>
      <c r="G176"/>
      <c r="H176"/>
      <c r="I176"/>
    </row>
    <row r="177" spans="2:9" s="2" customFormat="1" ht="15" customHeight="1">
      <c r="B177"/>
      <c r="C177"/>
      <c r="D177"/>
      <c r="E177"/>
      <c r="F177"/>
      <c r="G177"/>
      <c r="H177"/>
      <c r="I177"/>
    </row>
    <row r="178" spans="2:9" s="2" customFormat="1" ht="15" customHeight="1">
      <c r="B178"/>
      <c r="C178"/>
      <c r="D178"/>
      <c r="E178"/>
      <c r="F178"/>
      <c r="G178"/>
      <c r="H178"/>
      <c r="I178"/>
    </row>
    <row r="179" spans="2:9" s="2" customFormat="1" ht="15" customHeight="1">
      <c r="B179"/>
      <c r="C179"/>
      <c r="E179"/>
      <c r="F179"/>
      <c r="G179"/>
      <c r="H179"/>
      <c r="I179"/>
    </row>
    <row r="180" spans="2:9" s="2" customFormat="1" ht="15" customHeight="1">
      <c r="B180"/>
      <c r="C180"/>
      <c r="E180"/>
      <c r="F180"/>
      <c r="G180"/>
      <c r="H180"/>
      <c r="I180"/>
    </row>
    <row r="181" spans="2:9" s="2" customFormat="1" ht="15" customHeight="1">
      <c r="B181"/>
      <c r="C181"/>
      <c r="E181"/>
      <c r="F181"/>
      <c r="G181"/>
      <c r="H181"/>
      <c r="I181"/>
    </row>
    <row r="182" ht="15" customHeight="1"/>
    <row r="183" ht="15" customHeight="1"/>
    <row r="184" ht="15" customHeight="1"/>
    <row r="185" ht="15" customHeight="1"/>
    <row r="186" spans="2:8" ht="32.25" customHeight="1">
      <c r="B186" s="273" t="s">
        <v>221</v>
      </c>
      <c r="C186" s="274"/>
      <c r="D186" s="275"/>
      <c r="F186" s="273" t="s">
        <v>222</v>
      </c>
      <c r="G186" s="274"/>
      <c r="H186" s="275"/>
    </row>
    <row r="187" spans="2:8" ht="39" customHeight="1">
      <c r="B187" s="26"/>
      <c r="C187" s="27" t="s">
        <v>129</v>
      </c>
      <c r="D187" s="7" t="s">
        <v>1</v>
      </c>
      <c r="F187" s="26"/>
      <c r="G187" s="27" t="s">
        <v>129</v>
      </c>
      <c r="H187" s="7" t="s">
        <v>1</v>
      </c>
    </row>
    <row r="188" spans="2:8" ht="25.5" customHeight="1">
      <c r="B188" s="25" t="s">
        <v>290</v>
      </c>
      <c r="C188" s="33">
        <f>Security!C60</f>
        <v>7.07</v>
      </c>
      <c r="D188" s="33">
        <f>Security!D60</f>
        <v>0.78</v>
      </c>
      <c r="F188" s="25" t="s">
        <v>290</v>
      </c>
      <c r="G188" s="39">
        <f>Security!E60</f>
        <v>56576</v>
      </c>
      <c r="H188" s="39">
        <f>Security!F60</f>
        <v>6201.6</v>
      </c>
    </row>
    <row r="189" spans="2:8" ht="25.5" customHeight="1">
      <c r="B189" s="25" t="s">
        <v>291</v>
      </c>
      <c r="C189" s="33">
        <f>Security!C61</f>
        <v>1.25</v>
      </c>
      <c r="D189" s="33">
        <f>Security!D61</f>
        <v>0.14</v>
      </c>
      <c r="F189" s="25" t="s">
        <v>291</v>
      </c>
      <c r="G189" s="39">
        <f>Security!E61</f>
        <v>9992.32</v>
      </c>
      <c r="H189" s="39">
        <f>Security!F61</f>
        <v>1095.31</v>
      </c>
    </row>
    <row r="190" spans="2:8" ht="25.5" customHeight="1">
      <c r="B190" s="10" t="s">
        <v>233</v>
      </c>
      <c r="C190" s="33">
        <f>Security!C62</f>
        <v>16.61</v>
      </c>
      <c r="D190" s="33">
        <f>Security!D62</f>
        <v>1.82</v>
      </c>
      <c r="F190" s="10" t="s">
        <v>233</v>
      </c>
      <c r="G190" s="39">
        <f>Security!E62</f>
        <v>132899.52</v>
      </c>
      <c r="H190" s="39">
        <f>Security!F62</f>
        <v>14567.83</v>
      </c>
    </row>
    <row r="191" spans="2:8" ht="25.5" customHeight="1">
      <c r="B191" s="10" t="s">
        <v>36</v>
      </c>
      <c r="C191" s="33">
        <f>Security!C63</f>
        <v>0</v>
      </c>
      <c r="D191" s="33">
        <f>Security!D63</f>
        <v>0</v>
      </c>
      <c r="F191" s="10" t="s">
        <v>36</v>
      </c>
      <c r="G191" s="39">
        <f>Security!E63</f>
        <v>0</v>
      </c>
      <c r="H191" s="39">
        <f>Security!F63</f>
        <v>0</v>
      </c>
    </row>
    <row r="192" spans="2:8" ht="25.5" customHeight="1">
      <c r="B192" s="10" t="s">
        <v>202</v>
      </c>
      <c r="C192" s="33">
        <f>Security!C64</f>
        <v>0.37</v>
      </c>
      <c r="D192" s="33">
        <f>Security!D64</f>
        <v>11.97</v>
      </c>
      <c r="F192" s="10" t="s">
        <v>202</v>
      </c>
      <c r="G192" s="39">
        <f>Security!E64</f>
        <v>2992</v>
      </c>
      <c r="H192" s="39">
        <f>Security!F64</f>
        <v>95744</v>
      </c>
    </row>
    <row r="193" spans="2:8" ht="25.5" customHeight="1">
      <c r="B193" s="11" t="s">
        <v>279</v>
      </c>
      <c r="C193" s="33">
        <f>Security!C65</f>
        <v>25.31</v>
      </c>
      <c r="D193" s="33">
        <f>Security!D65</f>
        <v>14.7</v>
      </c>
      <c r="F193" s="11" t="str">
        <f>"Total annual cost for security support and services for "&amp;TEXT(NumClients,"0,000")&amp;" clients"</f>
        <v>Total annual cost for security support and services for 8,000 clients</v>
      </c>
      <c r="G193" s="39">
        <f>Security!E65</f>
        <v>202459.84</v>
      </c>
      <c r="H193" s="39">
        <f>Security!F65</f>
        <v>117608.73999999999</v>
      </c>
    </row>
  </sheetData>
  <sheetProtection sheet="1" objects="1" scenarios="1"/>
  <mergeCells count="29">
    <mergeCell ref="F130:H130"/>
    <mergeCell ref="B78:D78"/>
    <mergeCell ref="B139:D139"/>
    <mergeCell ref="B130:D130"/>
    <mergeCell ref="B166:H166"/>
    <mergeCell ref="F49:H49"/>
    <mergeCell ref="B49:D49"/>
    <mergeCell ref="B111:H111"/>
    <mergeCell ref="F105:H105"/>
    <mergeCell ref="B105:D105"/>
    <mergeCell ref="B88:D88"/>
    <mergeCell ref="B137:H137"/>
    <mergeCell ref="B186:D186"/>
    <mergeCell ref="F186:H186"/>
    <mergeCell ref="B168:D168"/>
    <mergeCell ref="F157:H157"/>
    <mergeCell ref="B157:D157"/>
    <mergeCell ref="B15:D15"/>
    <mergeCell ref="F15:H15"/>
    <mergeCell ref="B2:H2"/>
    <mergeCell ref="B60:H60"/>
    <mergeCell ref="B28:H28"/>
    <mergeCell ref="B32:D32"/>
    <mergeCell ref="B30:H30"/>
    <mergeCell ref="B113:D113"/>
    <mergeCell ref="B86:H86"/>
    <mergeCell ref="B25:C25"/>
    <mergeCell ref="B62:D62"/>
    <mergeCell ref="F78:H78"/>
  </mergeCells>
  <printOptions/>
  <pageMargins left="0.3" right="0.3" top="0.3" bottom="0.3" header="0" footer="0"/>
  <pageSetup fitToHeight="9" horizontalDpi="600" verticalDpi="600" orientation="landscape" scale="93" r:id="rId2"/>
  <rowBreaks count="6" manualBreakCount="6">
    <brk id="27" max="255" man="1"/>
    <brk id="59" max="255" man="1"/>
    <brk id="85" max="255" man="1"/>
    <brk id="110" max="255" man="1"/>
    <brk id="136" max="255" man="1"/>
    <brk id="165" max="255" man="1"/>
  </rowBreaks>
  <drawing r:id="rId1"/>
</worksheet>
</file>

<file path=xl/worksheets/sheet3.xml><?xml version="1.0" encoding="utf-8"?>
<worksheet xmlns="http://schemas.openxmlformats.org/spreadsheetml/2006/main" xmlns:r="http://schemas.openxmlformats.org/officeDocument/2006/relationships">
  <sheetPr codeName="Sheet11">
    <tabColor theme="4"/>
  </sheetPr>
  <dimension ref="A1:O161"/>
  <sheetViews>
    <sheetView zoomScaleSheetLayoutView="100" zoomScalePageLayoutView="0" workbookViewId="0" topLeftCell="A1">
      <selection activeCell="A1" sqref="A1"/>
    </sheetView>
  </sheetViews>
  <sheetFormatPr defaultColWidth="9.140625" defaultRowHeight="15" customHeight="1"/>
  <cols>
    <col min="1" max="1" width="1.7109375" style="65" customWidth="1"/>
    <col min="2" max="2" width="39.7109375" style="65" customWidth="1"/>
    <col min="3" max="12" width="12.421875" style="65" customWidth="1"/>
    <col min="13" max="16384" width="9.140625" style="65" customWidth="1"/>
  </cols>
  <sheetData>
    <row r="1" spans="1:15" ht="21.75" customHeight="1">
      <c r="A1" s="62"/>
      <c r="B1" s="287" t="s">
        <v>296</v>
      </c>
      <c r="C1" s="287"/>
      <c r="D1" s="287"/>
      <c r="E1" s="287"/>
      <c r="F1" s="287"/>
      <c r="G1" s="287"/>
      <c r="H1" s="287"/>
      <c r="I1" s="63"/>
      <c r="J1" s="63"/>
      <c r="K1" s="64"/>
      <c r="L1" s="64"/>
      <c r="M1" s="64"/>
      <c r="N1" s="64"/>
      <c r="O1" s="64"/>
    </row>
    <row r="2" spans="1:15" ht="15" customHeight="1">
      <c r="A2" s="64"/>
      <c r="B2" s="63"/>
      <c r="C2" s="63"/>
      <c r="E2" s="63"/>
      <c r="G2" s="63"/>
      <c r="H2" s="63"/>
      <c r="I2" s="63"/>
      <c r="J2" s="64"/>
      <c r="K2" s="64"/>
      <c r="L2" s="64"/>
      <c r="M2" s="64"/>
      <c r="N2" s="64"/>
      <c r="O2" s="64"/>
    </row>
    <row r="3" spans="1:15" ht="15" customHeight="1">
      <c r="A3" s="64"/>
      <c r="B3" s="285" t="s">
        <v>300</v>
      </c>
      <c r="C3" s="286"/>
      <c r="D3" s="66">
        <v>1</v>
      </c>
      <c r="E3" s="67"/>
      <c r="G3" s="63"/>
      <c r="H3" s="63"/>
      <c r="J3" s="63"/>
      <c r="K3" s="64"/>
      <c r="L3" s="64"/>
      <c r="M3" s="64"/>
      <c r="N3" s="64"/>
      <c r="O3" s="64"/>
    </row>
    <row r="4" spans="1:15" ht="15" customHeight="1">
      <c r="A4" s="64"/>
      <c r="B4" s="68" t="s">
        <v>65</v>
      </c>
      <c r="C4" s="69">
        <v>8000</v>
      </c>
      <c r="D4" s="70">
        <v>2</v>
      </c>
      <c r="E4" s="67"/>
      <c r="G4" s="64"/>
      <c r="H4" s="64"/>
      <c r="K4" s="64"/>
      <c r="L4" s="64"/>
      <c r="M4" s="64"/>
      <c r="N4" s="64"/>
      <c r="O4" s="64"/>
    </row>
    <row r="5" spans="1:15" ht="15" customHeight="1">
      <c r="A5" s="64"/>
      <c r="B5" s="68" t="s">
        <v>100</v>
      </c>
      <c r="C5" s="71">
        <v>0.1</v>
      </c>
      <c r="D5" s="70">
        <v>3</v>
      </c>
      <c r="E5" s="67"/>
      <c r="G5" s="64"/>
      <c r="H5" s="64"/>
      <c r="K5" s="64"/>
      <c r="L5" s="64"/>
      <c r="M5" s="64"/>
      <c r="N5" s="64"/>
      <c r="O5" s="64"/>
    </row>
    <row r="6" spans="1:15" ht="15" customHeight="1">
      <c r="A6" s="64"/>
      <c r="B6" s="68" t="s">
        <v>114</v>
      </c>
      <c r="C6" s="69">
        <v>10</v>
      </c>
      <c r="D6" s="70">
        <v>4</v>
      </c>
      <c r="E6" s="67"/>
      <c r="G6" s="64"/>
      <c r="H6" s="64"/>
      <c r="K6" s="64"/>
      <c r="L6" s="64"/>
      <c r="M6" s="64"/>
      <c r="N6" s="64"/>
      <c r="O6" s="64"/>
    </row>
    <row r="7" spans="1:15" ht="15" customHeight="1">
      <c r="A7" s="64"/>
      <c r="B7" s="72" t="s">
        <v>115</v>
      </c>
      <c r="C7" s="69">
        <v>60</v>
      </c>
      <c r="D7" s="70">
        <v>5</v>
      </c>
      <c r="E7" s="67"/>
      <c r="G7" s="64"/>
      <c r="H7" s="64"/>
      <c r="K7" s="64"/>
      <c r="L7" s="64"/>
      <c r="M7" s="64"/>
      <c r="N7" s="64"/>
      <c r="O7" s="64"/>
    </row>
    <row r="8" spans="1:15" ht="15" customHeight="1">
      <c r="A8" s="64"/>
      <c r="B8" s="72" t="s">
        <v>125</v>
      </c>
      <c r="C8" s="73">
        <v>5</v>
      </c>
      <c r="D8" s="70">
        <v>6</v>
      </c>
      <c r="E8" s="67"/>
      <c r="G8" s="64"/>
      <c r="H8" s="64"/>
      <c r="J8" s="64"/>
      <c r="K8" s="64"/>
      <c r="L8" s="64"/>
      <c r="M8" s="64"/>
      <c r="N8" s="64"/>
      <c r="O8" s="64"/>
    </row>
    <row r="9" spans="1:15" ht="15" customHeight="1">
      <c r="A9" s="64"/>
      <c r="B9" s="72" t="s">
        <v>157</v>
      </c>
      <c r="C9" s="73">
        <v>5</v>
      </c>
      <c r="D9" s="70">
        <v>7</v>
      </c>
      <c r="E9" s="67"/>
      <c r="H9" s="64"/>
      <c r="I9" s="64"/>
      <c r="J9" s="64"/>
      <c r="K9" s="64"/>
      <c r="L9" s="64"/>
      <c r="M9" s="64"/>
      <c r="N9" s="64"/>
      <c r="O9" s="64"/>
    </row>
    <row r="10" spans="1:15" ht="15" customHeight="1">
      <c r="A10" s="64"/>
      <c r="B10" s="74" t="s">
        <v>126</v>
      </c>
      <c r="C10" s="73">
        <v>245</v>
      </c>
      <c r="D10" s="70">
        <v>8</v>
      </c>
      <c r="E10" s="67"/>
      <c r="F10" s="75"/>
      <c r="G10" s="64"/>
      <c r="H10" s="64"/>
      <c r="I10" s="64"/>
      <c r="J10" s="64"/>
      <c r="K10" s="64"/>
      <c r="L10" s="64"/>
      <c r="M10" s="64"/>
      <c r="N10" s="64"/>
      <c r="O10" s="64"/>
    </row>
    <row r="11" spans="1:15" ht="15" customHeight="1">
      <c r="A11" s="64"/>
      <c r="E11" s="67"/>
      <c r="F11" s="75"/>
      <c r="G11" s="64"/>
      <c r="H11" s="64"/>
      <c r="I11" s="64"/>
      <c r="J11" s="64"/>
      <c r="K11" s="64"/>
      <c r="L11" s="64"/>
      <c r="M11" s="64"/>
      <c r="N11" s="64"/>
      <c r="O11" s="64"/>
    </row>
    <row r="12" spans="1:15" ht="15" customHeight="1">
      <c r="A12" s="64"/>
      <c r="D12" s="75"/>
      <c r="E12" s="67" t="s">
        <v>67</v>
      </c>
      <c r="F12" s="75"/>
      <c r="G12" s="64"/>
      <c r="H12" s="64"/>
      <c r="I12" s="64"/>
      <c r="J12" s="64"/>
      <c r="K12" s="64"/>
      <c r="L12" s="64"/>
      <c r="M12" s="64"/>
      <c r="N12" s="64"/>
      <c r="O12" s="64"/>
    </row>
    <row r="13" spans="1:15" ht="15" customHeight="1">
      <c r="A13" s="64"/>
      <c r="B13" s="286" t="s">
        <v>101</v>
      </c>
      <c r="C13" s="286"/>
      <c r="D13" s="286"/>
      <c r="E13" s="286"/>
      <c r="F13" s="75"/>
      <c r="G13" s="64"/>
      <c r="H13" s="64"/>
      <c r="I13" s="64"/>
      <c r="J13" s="64"/>
      <c r="K13" s="64"/>
      <c r="L13" s="64"/>
      <c r="M13" s="64"/>
      <c r="N13" s="64"/>
      <c r="O13" s="64"/>
    </row>
    <row r="14" spans="1:15" ht="15" customHeight="1">
      <c r="A14" s="64"/>
      <c r="B14" s="76"/>
      <c r="C14" s="77" t="s">
        <v>102</v>
      </c>
      <c r="D14" s="77" t="s">
        <v>229</v>
      </c>
      <c r="E14" s="77" t="s">
        <v>230</v>
      </c>
      <c r="F14" s="70">
        <v>1</v>
      </c>
      <c r="G14" s="67"/>
      <c r="H14" s="78"/>
      <c r="I14" s="78"/>
      <c r="J14" s="78"/>
      <c r="K14" s="64"/>
      <c r="L14" s="64"/>
      <c r="M14" s="64"/>
      <c r="N14" s="64"/>
      <c r="O14" s="64"/>
    </row>
    <row r="15" spans="1:15" ht="15" customHeight="1">
      <c r="A15" s="64"/>
      <c r="B15" s="79" t="s">
        <v>127</v>
      </c>
      <c r="C15" s="80">
        <v>80000</v>
      </c>
      <c r="D15" s="81">
        <f>C15/($C$10*8)</f>
        <v>40.816326530612244</v>
      </c>
      <c r="E15" s="82">
        <f>ROUND(EndUser_Avg_Hourly/60,2)</f>
        <v>0.68</v>
      </c>
      <c r="F15" s="70">
        <v>2</v>
      </c>
      <c r="G15" s="67"/>
      <c r="K15" s="64"/>
      <c r="L15" s="64"/>
      <c r="M15" s="64"/>
      <c r="N15" s="64"/>
      <c r="O15" s="64"/>
    </row>
    <row r="16" spans="1:15" ht="15" customHeight="1">
      <c r="A16" s="64"/>
      <c r="B16" s="83" t="s">
        <v>285</v>
      </c>
      <c r="C16" s="80">
        <v>80000</v>
      </c>
      <c r="D16" s="81">
        <f>C16/($C$10*8)</f>
        <v>40.816326530612244</v>
      </c>
      <c r="E16" s="82">
        <f>ROUND(D16/60,40)</f>
        <v>0.680272108843537</v>
      </c>
      <c r="F16" s="70">
        <v>3</v>
      </c>
      <c r="G16" s="67"/>
      <c r="K16" s="64"/>
      <c r="L16" s="64"/>
      <c r="M16" s="64"/>
      <c r="N16" s="64"/>
      <c r="O16" s="64"/>
    </row>
    <row r="17" spans="1:15" ht="15" customHeight="1">
      <c r="A17" s="64"/>
      <c r="B17" s="83" t="s">
        <v>286</v>
      </c>
      <c r="C17" s="80">
        <v>110000</v>
      </c>
      <c r="D17" s="81">
        <f>C17/($C$10*8)</f>
        <v>56.12244897959184</v>
      </c>
      <c r="E17" s="82">
        <f>ROUND(D17/60,4)</f>
        <v>0.9354</v>
      </c>
      <c r="F17" s="70" t="s">
        <v>67</v>
      </c>
      <c r="K17" s="64"/>
      <c r="L17" s="64"/>
      <c r="M17" s="64"/>
      <c r="N17" s="64"/>
      <c r="O17" s="64"/>
    </row>
    <row r="18" spans="1:15" ht="15" customHeight="1">
      <c r="A18" s="64"/>
      <c r="B18" s="83" t="s">
        <v>287</v>
      </c>
      <c r="C18" s="80">
        <v>145000</v>
      </c>
      <c r="D18" s="81">
        <f>C18/($C$10*8)</f>
        <v>73.9795918367347</v>
      </c>
      <c r="E18" s="82">
        <f>ROUND(D18/60,4)</f>
        <v>1.233</v>
      </c>
      <c r="F18" s="70"/>
      <c r="K18" s="64"/>
      <c r="L18" s="64"/>
      <c r="M18" s="64"/>
      <c r="N18" s="64"/>
      <c r="O18" s="64"/>
    </row>
    <row r="19" spans="1:15" ht="15" customHeight="1">
      <c r="A19" s="64"/>
      <c r="B19" s="83" t="s">
        <v>128</v>
      </c>
      <c r="C19" s="80">
        <v>140000</v>
      </c>
      <c r="D19" s="81">
        <f>C19/($C$10*8)</f>
        <v>71.42857142857143</v>
      </c>
      <c r="E19" s="82">
        <f>ROUND(D19/60,4)</f>
        <v>1.1905</v>
      </c>
      <c r="F19" s="70">
        <v>4</v>
      </c>
      <c r="G19" s="67"/>
      <c r="J19" s="84"/>
      <c r="K19" s="64"/>
      <c r="L19" s="64"/>
      <c r="M19" s="64"/>
      <c r="N19" s="64"/>
      <c r="O19" s="64"/>
    </row>
    <row r="20" spans="1:15" ht="15" customHeight="1">
      <c r="A20" s="64"/>
      <c r="C20" s="85"/>
      <c r="D20" s="85"/>
      <c r="E20" s="85"/>
      <c r="F20" s="75"/>
      <c r="G20" s="78"/>
      <c r="H20" s="78"/>
      <c r="I20" s="86"/>
      <c r="J20" s="84"/>
      <c r="K20" s="64"/>
      <c r="L20" s="64"/>
      <c r="M20" s="64"/>
      <c r="N20" s="64"/>
      <c r="O20" s="64"/>
    </row>
    <row r="21" spans="1:15" ht="15" customHeight="1">
      <c r="A21" s="64"/>
      <c r="B21" s="283" t="s">
        <v>113</v>
      </c>
      <c r="C21" s="284"/>
      <c r="D21" s="284"/>
      <c r="E21" s="75"/>
      <c r="F21" s="87"/>
      <c r="G21" s="78"/>
      <c r="H21" s="78"/>
      <c r="I21" s="86"/>
      <c r="J21" s="78"/>
      <c r="K21" s="64"/>
      <c r="L21" s="64"/>
      <c r="M21" s="64"/>
      <c r="N21" s="64"/>
      <c r="O21" s="64"/>
    </row>
    <row r="22" spans="1:14" s="92" customFormat="1" ht="39" customHeight="1">
      <c r="A22" s="88"/>
      <c r="B22" s="89"/>
      <c r="C22" s="90" t="s">
        <v>129</v>
      </c>
      <c r="D22" s="90" t="s">
        <v>1</v>
      </c>
      <c r="E22" s="70"/>
      <c r="F22" s="91"/>
      <c r="G22" s="91"/>
      <c r="H22" s="91"/>
      <c r="I22" s="91"/>
      <c r="J22" s="88"/>
      <c r="K22" s="88"/>
      <c r="L22" s="88"/>
      <c r="M22" s="88"/>
      <c r="N22" s="88"/>
    </row>
    <row r="23" spans="1:14" ht="24" customHeight="1">
      <c r="A23" s="64"/>
      <c r="B23" s="93" t="s">
        <v>227</v>
      </c>
      <c r="C23" s="94">
        <v>0.98</v>
      </c>
      <c r="D23" s="94">
        <v>0.98</v>
      </c>
      <c r="E23" s="70">
        <v>1</v>
      </c>
      <c r="F23" s="64"/>
      <c r="G23" s="67"/>
      <c r="H23" s="64"/>
      <c r="I23" s="64"/>
      <c r="J23" s="64"/>
      <c r="K23" s="64"/>
      <c r="L23" s="64"/>
      <c r="M23" s="64"/>
      <c r="N23" s="64"/>
    </row>
    <row r="24" spans="1:14" ht="15" customHeight="1">
      <c r="A24" s="64"/>
      <c r="B24" s="68" t="s">
        <v>99</v>
      </c>
      <c r="C24" s="95">
        <v>4</v>
      </c>
      <c r="D24" s="95">
        <v>5</v>
      </c>
      <c r="E24" s="70">
        <v>2</v>
      </c>
      <c r="F24" s="64"/>
      <c r="G24" s="67"/>
      <c r="H24" s="64"/>
      <c r="I24" s="64"/>
      <c r="J24" s="64"/>
      <c r="K24" s="64"/>
      <c r="L24" s="64"/>
      <c r="M24" s="64"/>
      <c r="N24" s="64"/>
    </row>
    <row r="25" spans="1:14" ht="15" customHeight="1">
      <c r="A25" s="64"/>
      <c r="B25" s="68" t="s">
        <v>130</v>
      </c>
      <c r="C25" s="60">
        <v>400</v>
      </c>
      <c r="D25" s="60">
        <v>60</v>
      </c>
      <c r="E25" s="70">
        <v>3</v>
      </c>
      <c r="F25" s="64"/>
      <c r="G25" s="67"/>
      <c r="H25" s="64"/>
      <c r="I25" s="64"/>
      <c r="J25" s="64"/>
      <c r="K25" s="64"/>
      <c r="L25" s="64"/>
      <c r="M25" s="64"/>
      <c r="N25" s="64"/>
    </row>
    <row r="26" spans="1:14" ht="15" customHeight="1">
      <c r="A26" s="64"/>
      <c r="B26" s="68" t="s">
        <v>131</v>
      </c>
      <c r="C26" s="96">
        <f>ROUND(Home!$C$19*(100%+C5)/C25,0)</f>
        <v>22</v>
      </c>
      <c r="D26" s="96">
        <f>ROUND(Home!$C$19*(100%+C5)/D25,0)</f>
        <v>147</v>
      </c>
      <c r="E26" s="70">
        <v>4</v>
      </c>
      <c r="F26" s="64"/>
      <c r="G26" s="67"/>
      <c r="H26" s="64"/>
      <c r="I26" s="64"/>
      <c r="J26" s="64"/>
      <c r="K26" s="64"/>
      <c r="L26" s="64"/>
      <c r="M26" s="64"/>
      <c r="N26" s="64"/>
    </row>
    <row r="27" spans="1:15" ht="15" customHeight="1">
      <c r="A27" s="64"/>
      <c r="C27" s="64"/>
      <c r="D27" s="64"/>
      <c r="E27" s="64"/>
      <c r="F27" s="64"/>
      <c r="G27" s="64"/>
      <c r="H27" s="64"/>
      <c r="I27" s="64"/>
      <c r="J27" s="64"/>
      <c r="K27" s="64"/>
      <c r="L27" s="64"/>
      <c r="M27" s="64"/>
      <c r="N27" s="64"/>
      <c r="O27" s="64"/>
    </row>
    <row r="28" spans="1:15" ht="15" customHeight="1">
      <c r="A28" s="64"/>
      <c r="B28" s="281" t="s">
        <v>104</v>
      </c>
      <c r="C28" s="282"/>
      <c r="E28" s="64"/>
      <c r="F28" s="64"/>
      <c r="G28" s="64"/>
      <c r="H28" s="64"/>
      <c r="I28" s="64"/>
      <c r="J28" s="64"/>
      <c r="K28" s="64"/>
      <c r="L28" s="64"/>
      <c r="M28" s="64"/>
      <c r="N28" s="64"/>
      <c r="O28" s="64"/>
    </row>
    <row r="29" spans="1:15" ht="24" customHeight="1">
      <c r="A29" s="64"/>
      <c r="B29" s="97" t="s">
        <v>236</v>
      </c>
      <c r="C29" s="98">
        <v>12</v>
      </c>
      <c r="D29" s="70">
        <v>1</v>
      </c>
      <c r="E29" s="64"/>
      <c r="F29" s="64"/>
      <c r="G29" s="64"/>
      <c r="H29" s="64"/>
      <c r="I29" s="64"/>
      <c r="J29" s="64"/>
      <c r="K29" s="64"/>
      <c r="L29" s="64"/>
      <c r="M29" s="64"/>
      <c r="N29" s="64"/>
      <c r="O29" s="64"/>
    </row>
    <row r="30" spans="1:15" ht="24" customHeight="1">
      <c r="A30" s="64"/>
      <c r="B30" s="97" t="s">
        <v>132</v>
      </c>
      <c r="C30" s="98">
        <v>2</v>
      </c>
      <c r="D30" s="70">
        <v>2</v>
      </c>
      <c r="E30" s="64"/>
      <c r="F30" s="64"/>
      <c r="G30" s="64"/>
      <c r="H30" s="64"/>
      <c r="I30" s="64"/>
      <c r="J30" s="64"/>
      <c r="K30" s="64"/>
      <c r="L30" s="64"/>
      <c r="M30" s="64"/>
      <c r="N30" s="64"/>
      <c r="O30" s="64"/>
    </row>
    <row r="31" spans="1:15" ht="24" customHeight="1">
      <c r="A31" s="64"/>
      <c r="B31" s="97" t="s">
        <v>9</v>
      </c>
      <c r="C31" s="99">
        <f>SUM(C29:C30)</f>
        <v>14</v>
      </c>
      <c r="D31" s="70">
        <v>3</v>
      </c>
      <c r="E31" s="64"/>
      <c r="F31" s="64"/>
      <c r="G31" s="64"/>
      <c r="H31" s="64"/>
      <c r="I31" s="64"/>
      <c r="J31" s="64"/>
      <c r="K31" s="64"/>
      <c r="L31" s="64"/>
      <c r="M31" s="64"/>
      <c r="N31" s="64"/>
      <c r="O31" s="64"/>
    </row>
    <row r="32" spans="1:15" ht="24" customHeight="1">
      <c r="A32" s="64"/>
      <c r="B32" s="97" t="s">
        <v>136</v>
      </c>
      <c r="C32" s="100">
        <v>0.9</v>
      </c>
      <c r="D32" s="70">
        <v>4</v>
      </c>
      <c r="E32" s="64"/>
      <c r="F32" s="64"/>
      <c r="G32" s="64"/>
      <c r="H32" s="64"/>
      <c r="I32" s="64"/>
      <c r="J32" s="64"/>
      <c r="K32" s="64"/>
      <c r="L32" s="64"/>
      <c r="M32" s="64"/>
      <c r="N32" s="64"/>
      <c r="O32" s="64"/>
    </row>
    <row r="33" spans="1:15" ht="24" customHeight="1">
      <c r="A33" s="64"/>
      <c r="B33" s="97" t="s">
        <v>140</v>
      </c>
      <c r="C33" s="101">
        <f>ROUND(NumConfigs*C32,1)</f>
        <v>4.5</v>
      </c>
      <c r="D33" s="70">
        <v>5</v>
      </c>
      <c r="E33" s="64"/>
      <c r="F33" s="64"/>
      <c r="G33" s="64"/>
      <c r="H33" s="64"/>
      <c r="I33" s="64"/>
      <c r="J33" s="64"/>
      <c r="K33" s="64"/>
      <c r="L33" s="64"/>
      <c r="M33" s="64"/>
      <c r="N33" s="64"/>
      <c r="O33" s="64"/>
    </row>
    <row r="34" spans="1:15" ht="24" customHeight="1">
      <c r="A34" s="64"/>
      <c r="B34" s="97" t="s">
        <v>137</v>
      </c>
      <c r="C34" s="102">
        <v>0.95</v>
      </c>
      <c r="D34" s="70">
        <v>6</v>
      </c>
      <c r="E34" s="64"/>
      <c r="F34" s="64"/>
      <c r="G34" s="64"/>
      <c r="H34" s="64"/>
      <c r="I34" s="64"/>
      <c r="J34" s="64"/>
      <c r="K34" s="64"/>
      <c r="L34" s="64"/>
      <c r="M34" s="64"/>
      <c r="N34" s="64"/>
      <c r="O34" s="64"/>
    </row>
    <row r="35" spans="1:15" ht="24" customHeight="1">
      <c r="A35" s="64"/>
      <c r="B35" s="97" t="s">
        <v>141</v>
      </c>
      <c r="C35" s="101">
        <f>ROUND(NumServerConfigs*C34,1)</f>
        <v>4.8</v>
      </c>
      <c r="D35" s="70">
        <v>7</v>
      </c>
      <c r="E35" s="64"/>
      <c r="F35" s="64"/>
      <c r="G35" s="64"/>
      <c r="H35" s="64"/>
      <c r="I35" s="64"/>
      <c r="J35" s="64"/>
      <c r="K35" s="64"/>
      <c r="L35" s="64"/>
      <c r="M35" s="64"/>
      <c r="N35" s="64"/>
      <c r="O35" s="64"/>
    </row>
    <row r="36" spans="1:15" ht="24" customHeight="1">
      <c r="A36" s="64"/>
      <c r="B36" s="103" t="s">
        <v>228</v>
      </c>
      <c r="C36" s="104">
        <v>0.98</v>
      </c>
      <c r="D36" s="70">
        <v>8</v>
      </c>
      <c r="E36" s="64"/>
      <c r="F36" s="64"/>
      <c r="G36" s="64"/>
      <c r="H36" s="64"/>
      <c r="I36" s="64"/>
      <c r="J36" s="64"/>
      <c r="K36" s="64"/>
      <c r="L36" s="64"/>
      <c r="M36" s="64"/>
      <c r="N36" s="64"/>
      <c r="O36" s="64"/>
    </row>
    <row r="37" spans="1:15" ht="15" customHeight="1">
      <c r="A37" s="64"/>
      <c r="B37" s="64"/>
      <c r="C37" s="64"/>
      <c r="D37" s="64"/>
      <c r="E37" s="64"/>
      <c r="F37" s="64"/>
      <c r="G37" s="64"/>
      <c r="H37" s="64"/>
      <c r="I37" s="64"/>
      <c r="J37" s="64"/>
      <c r="K37" s="64"/>
      <c r="L37" s="64"/>
      <c r="M37" s="64"/>
      <c r="N37" s="64"/>
      <c r="O37" s="64"/>
    </row>
    <row r="38" spans="1:15" ht="15" customHeight="1">
      <c r="A38" s="64"/>
      <c r="B38" s="283" t="s">
        <v>95</v>
      </c>
      <c r="C38" s="284"/>
      <c r="D38" s="284"/>
      <c r="E38" s="105"/>
      <c r="F38" s="64"/>
      <c r="G38" s="64"/>
      <c r="H38" s="64"/>
      <c r="I38" s="64"/>
      <c r="J38" s="64"/>
      <c r="K38" s="64"/>
      <c r="L38" s="64"/>
      <c r="M38" s="64"/>
      <c r="N38" s="64"/>
      <c r="O38" s="64"/>
    </row>
    <row r="39" spans="1:15" ht="39" customHeight="1">
      <c r="A39" s="64"/>
      <c r="B39" s="89"/>
      <c r="C39" s="106" t="s">
        <v>129</v>
      </c>
      <c r="D39" s="90" t="s">
        <v>1</v>
      </c>
      <c r="E39" s="105"/>
      <c r="F39" s="64"/>
      <c r="G39" s="64"/>
      <c r="H39" s="64"/>
      <c r="I39" s="64"/>
      <c r="J39" s="64"/>
      <c r="K39" s="64"/>
      <c r="L39" s="64"/>
      <c r="M39" s="64"/>
      <c r="N39" s="64"/>
      <c r="O39" s="64"/>
    </row>
    <row r="40" spans="1:15" ht="15" customHeight="1">
      <c r="A40" s="64"/>
      <c r="B40" s="107" t="s">
        <v>25</v>
      </c>
      <c r="C40" s="108">
        <v>6</v>
      </c>
      <c r="D40" s="108">
        <v>4</v>
      </c>
      <c r="E40" s="70">
        <v>1</v>
      </c>
      <c r="F40" s="64"/>
      <c r="G40" s="64"/>
      <c r="H40" s="64"/>
      <c r="I40" s="64"/>
      <c r="J40" s="64"/>
      <c r="K40" s="64"/>
      <c r="L40" s="64"/>
      <c r="M40" s="64"/>
      <c r="N40" s="64"/>
      <c r="O40" s="64"/>
    </row>
    <row r="41" spans="1:15" ht="15" customHeight="1">
      <c r="A41" s="64"/>
      <c r="B41" s="107" t="s">
        <v>165</v>
      </c>
      <c r="C41" s="71">
        <v>0.35</v>
      </c>
      <c r="D41" s="71">
        <v>0.15</v>
      </c>
      <c r="E41" s="70">
        <v>2</v>
      </c>
      <c r="F41" s="64"/>
      <c r="G41" s="64"/>
      <c r="H41" s="64"/>
      <c r="I41" s="64"/>
      <c r="J41" s="64"/>
      <c r="K41" s="64"/>
      <c r="L41" s="64"/>
      <c r="M41" s="64"/>
      <c r="N41" s="64"/>
      <c r="O41" s="64"/>
    </row>
    <row r="42" spans="1:15" ht="15" customHeight="1">
      <c r="A42" s="64"/>
      <c r="B42" s="107" t="s">
        <v>166</v>
      </c>
      <c r="C42" s="109">
        <f>100%-C41</f>
        <v>0.65</v>
      </c>
      <c r="D42" s="109">
        <f>100%-D41</f>
        <v>0.85</v>
      </c>
      <c r="E42" s="70">
        <v>3</v>
      </c>
      <c r="F42" s="64"/>
      <c r="G42" s="64"/>
      <c r="H42" s="64"/>
      <c r="I42" s="64"/>
      <c r="J42" s="64"/>
      <c r="K42" s="64"/>
      <c r="L42" s="64"/>
      <c r="M42" s="64"/>
      <c r="N42" s="64"/>
      <c r="O42" s="64"/>
    </row>
    <row r="43" spans="1:15" ht="15" customHeight="1">
      <c r="A43" s="64"/>
      <c r="B43" s="107" t="s">
        <v>37</v>
      </c>
      <c r="C43" s="110">
        <f>ROUND(NumClients*C41*C40,0)</f>
        <v>16800</v>
      </c>
      <c r="D43" s="110">
        <f>ROUND(NumClients*D41*D40,0)</f>
        <v>4800</v>
      </c>
      <c r="E43" s="70">
        <v>4</v>
      </c>
      <c r="F43" s="64"/>
      <c r="G43" s="64"/>
      <c r="H43" s="64"/>
      <c r="I43" s="64"/>
      <c r="J43" s="64"/>
      <c r="K43" s="64"/>
      <c r="L43" s="64"/>
      <c r="M43" s="64"/>
      <c r="N43" s="64"/>
      <c r="O43" s="64"/>
    </row>
    <row r="44" spans="1:15" ht="15" customHeight="1">
      <c r="A44" s="64"/>
      <c r="B44" s="107" t="s">
        <v>38</v>
      </c>
      <c r="C44" s="110">
        <f>ROUND(NumClients*C40*C42,0)</f>
        <v>31200</v>
      </c>
      <c r="D44" s="110">
        <f>ROUND(NumClients*D40*D42,0)</f>
        <v>27200</v>
      </c>
      <c r="E44" s="70">
        <v>5</v>
      </c>
      <c r="F44" s="64"/>
      <c r="G44" s="64"/>
      <c r="H44" s="64"/>
      <c r="I44" s="64"/>
      <c r="J44" s="64"/>
      <c r="K44" s="64"/>
      <c r="L44" s="64"/>
      <c r="M44" s="64"/>
      <c r="N44" s="64"/>
      <c r="O44" s="64"/>
    </row>
    <row r="45" spans="1:15" ht="15" customHeight="1">
      <c r="A45" s="64"/>
      <c r="B45" s="107" t="s">
        <v>268</v>
      </c>
      <c r="C45" s="111">
        <v>1</v>
      </c>
      <c r="D45" s="111">
        <v>1</v>
      </c>
      <c r="E45" s="70">
        <v>6</v>
      </c>
      <c r="F45" s="64"/>
      <c r="G45" s="64"/>
      <c r="H45" s="64"/>
      <c r="I45" s="64"/>
      <c r="J45" s="64"/>
      <c r="K45" s="64"/>
      <c r="L45" s="64"/>
      <c r="M45" s="64"/>
      <c r="N45" s="64"/>
      <c r="O45" s="64"/>
    </row>
    <row r="46" spans="1:15" ht="15" customHeight="1">
      <c r="A46" s="64"/>
      <c r="B46" s="107" t="s">
        <v>234</v>
      </c>
      <c r="C46" s="112">
        <v>1.05</v>
      </c>
      <c r="D46" s="112">
        <v>1</v>
      </c>
      <c r="E46" s="70">
        <v>7</v>
      </c>
      <c r="F46" s="64"/>
      <c r="G46" s="64"/>
      <c r="H46" s="64"/>
      <c r="I46" s="64"/>
      <c r="J46" s="64"/>
      <c r="K46" s="64"/>
      <c r="L46" s="64"/>
      <c r="M46" s="64"/>
      <c r="N46" s="64"/>
      <c r="O46" s="64"/>
    </row>
    <row r="47" spans="1:15" ht="15" customHeight="1">
      <c r="A47" s="64"/>
      <c r="B47" s="64"/>
      <c r="C47" s="64"/>
      <c r="D47" s="64"/>
      <c r="E47" s="64"/>
      <c r="F47" s="64"/>
      <c r="G47" s="64"/>
      <c r="H47" s="64"/>
      <c r="I47" s="64"/>
      <c r="J47" s="64"/>
      <c r="K47" s="64"/>
      <c r="L47" s="64"/>
      <c r="M47" s="64"/>
      <c r="N47" s="64"/>
      <c r="O47" s="64"/>
    </row>
    <row r="48" spans="1:15" ht="15" customHeight="1">
      <c r="A48" s="64"/>
      <c r="B48" s="283" t="s">
        <v>87</v>
      </c>
      <c r="C48" s="284"/>
      <c r="D48" s="284"/>
      <c r="E48" s="113"/>
      <c r="F48" s="64"/>
      <c r="G48" s="64"/>
      <c r="H48" s="64"/>
      <c r="I48" s="64"/>
      <c r="J48" s="64"/>
      <c r="K48" s="64"/>
      <c r="L48" s="64"/>
      <c r="M48" s="64"/>
      <c r="N48" s="64"/>
      <c r="O48" s="64"/>
    </row>
    <row r="49" spans="1:15" ht="15" customHeight="1">
      <c r="A49" s="64"/>
      <c r="B49" s="288" t="s">
        <v>232</v>
      </c>
      <c r="C49" s="289"/>
      <c r="D49" s="73">
        <v>80</v>
      </c>
      <c r="E49" s="70">
        <v>1</v>
      </c>
      <c r="I49" s="64"/>
      <c r="J49" s="64"/>
      <c r="K49" s="64"/>
      <c r="L49" s="64"/>
      <c r="M49" s="64"/>
      <c r="N49" s="64"/>
      <c r="O49" s="64"/>
    </row>
    <row r="50" spans="1:15" ht="39" customHeight="1">
      <c r="A50" s="64"/>
      <c r="B50" s="114"/>
      <c r="C50" s="115" t="s">
        <v>129</v>
      </c>
      <c r="D50" s="90" t="s">
        <v>1</v>
      </c>
      <c r="E50" s="113"/>
      <c r="F50" s="64"/>
      <c r="G50" s="64"/>
      <c r="H50" s="64"/>
      <c r="I50" s="64"/>
      <c r="J50" s="64"/>
      <c r="K50" s="64"/>
      <c r="L50" s="64"/>
      <c r="M50" s="64"/>
      <c r="N50" s="64"/>
      <c r="O50" s="64"/>
    </row>
    <row r="51" spans="1:15" ht="24" customHeight="1">
      <c r="A51" s="64"/>
      <c r="B51" s="68" t="s">
        <v>227</v>
      </c>
      <c r="C51" s="109">
        <f>Questionnaire!C23</f>
        <v>0.98</v>
      </c>
      <c r="D51" s="109">
        <f>Questionnaire!D23</f>
        <v>0.98</v>
      </c>
      <c r="E51" s="70">
        <v>2</v>
      </c>
      <c r="F51" s="64"/>
      <c r="G51" s="64"/>
      <c r="H51" s="64"/>
      <c r="I51" s="64"/>
      <c r="J51" s="64"/>
      <c r="K51" s="64"/>
      <c r="L51" s="64"/>
      <c r="M51" s="64"/>
      <c r="N51" s="64"/>
      <c r="O51" s="64"/>
    </row>
    <row r="52" spans="1:15" ht="28.5" customHeight="1">
      <c r="A52" s="64"/>
      <c r="B52" s="107" t="s">
        <v>270</v>
      </c>
      <c r="C52" s="116">
        <v>0</v>
      </c>
      <c r="D52" s="116">
        <v>0</v>
      </c>
      <c r="E52" s="70">
        <v>3</v>
      </c>
      <c r="F52" s="64"/>
      <c r="G52" s="64"/>
      <c r="H52" s="64"/>
      <c r="I52" s="64"/>
      <c r="J52" s="64"/>
      <c r="K52" s="64"/>
      <c r="L52" s="64"/>
      <c r="M52" s="64"/>
      <c r="N52" s="64"/>
      <c r="O52" s="64"/>
    </row>
    <row r="53" spans="1:15" ht="15" customHeight="1">
      <c r="A53" s="64"/>
      <c r="B53" s="107" t="s">
        <v>39</v>
      </c>
      <c r="C53" s="109">
        <f>C51-C52</f>
        <v>0.98</v>
      </c>
      <c r="D53" s="109">
        <f>D51-D52</f>
        <v>0.98</v>
      </c>
      <c r="E53" s="70">
        <v>4</v>
      </c>
      <c r="F53" s="64"/>
      <c r="G53" s="64"/>
      <c r="H53" s="64"/>
      <c r="I53" s="64"/>
      <c r="J53" s="64"/>
      <c r="K53" s="64"/>
      <c r="L53" s="64"/>
      <c r="M53" s="64"/>
      <c r="N53" s="64"/>
      <c r="O53" s="64"/>
    </row>
    <row r="54" spans="1:15" ht="15" customHeight="1">
      <c r="A54" s="64"/>
      <c r="B54" s="117"/>
      <c r="C54" s="117"/>
      <c r="D54" s="117"/>
      <c r="E54" s="117"/>
      <c r="F54" s="64"/>
      <c r="G54" s="64"/>
      <c r="H54" s="64"/>
      <c r="I54" s="64"/>
      <c r="J54" s="64"/>
      <c r="K54" s="64"/>
      <c r="L54" s="64"/>
      <c r="M54" s="64"/>
      <c r="N54" s="64"/>
      <c r="O54" s="64"/>
    </row>
    <row r="55" spans="1:15" ht="15" customHeight="1">
      <c r="A55" s="64"/>
      <c r="B55" s="281" t="s">
        <v>204</v>
      </c>
      <c r="C55" s="282"/>
      <c r="D55" s="282"/>
      <c r="F55" s="64"/>
      <c r="G55" s="64"/>
      <c r="H55" s="64"/>
      <c r="I55" s="64"/>
      <c r="J55" s="64"/>
      <c r="K55" s="64"/>
      <c r="L55" s="64"/>
      <c r="M55" s="64"/>
      <c r="N55" s="64"/>
      <c r="O55" s="64"/>
    </row>
    <row r="56" spans="1:15" ht="39" customHeight="1">
      <c r="A56" s="64"/>
      <c r="B56" s="118"/>
      <c r="C56" s="115" t="s">
        <v>129</v>
      </c>
      <c r="D56" s="119" t="s">
        <v>1</v>
      </c>
      <c r="F56" s="64"/>
      <c r="G56" s="64"/>
      <c r="H56" s="64"/>
      <c r="I56" s="64"/>
      <c r="J56" s="64"/>
      <c r="K56" s="64"/>
      <c r="L56" s="64"/>
      <c r="M56" s="64"/>
      <c r="N56" s="64"/>
      <c r="O56" s="64"/>
    </row>
    <row r="57" spans="1:15" ht="15" customHeight="1">
      <c r="A57" s="64"/>
      <c r="B57" s="120" t="s">
        <v>151</v>
      </c>
      <c r="C57" s="71">
        <v>0.05</v>
      </c>
      <c r="D57" s="71">
        <v>0.05</v>
      </c>
      <c r="E57" s="70">
        <v>1</v>
      </c>
      <c r="F57" s="64"/>
      <c r="G57" s="64"/>
      <c r="H57" s="64"/>
      <c r="I57" s="64"/>
      <c r="J57" s="64"/>
      <c r="K57" s="64"/>
      <c r="L57" s="64"/>
      <c r="M57" s="64"/>
      <c r="N57" s="64"/>
      <c r="O57" s="64"/>
    </row>
    <row r="58" spans="1:15" ht="15" customHeight="1">
      <c r="A58" s="64"/>
      <c r="B58" s="120" t="s">
        <v>149</v>
      </c>
      <c r="C58" s="110">
        <f>ROUND(NumClients/Questionnaire!C24,0)</f>
        <v>2000</v>
      </c>
      <c r="D58" s="110">
        <f>ROUND(NumClients/Questionnaire!D24,0)</f>
        <v>1600</v>
      </c>
      <c r="E58" s="70">
        <v>2</v>
      </c>
      <c r="F58" s="64"/>
      <c r="G58" s="64"/>
      <c r="H58" s="64"/>
      <c r="I58" s="64"/>
      <c r="J58" s="64"/>
      <c r="K58" s="64"/>
      <c r="L58" s="64"/>
      <c r="M58" s="64"/>
      <c r="N58" s="64"/>
      <c r="O58" s="64"/>
    </row>
    <row r="59" spans="1:15" ht="15" customHeight="1">
      <c r="A59" s="64"/>
      <c r="B59" s="120" t="s">
        <v>150</v>
      </c>
      <c r="C59" s="110">
        <f>ROUND(NumClients*Annual_growthrate,1)</f>
        <v>800</v>
      </c>
      <c r="D59" s="110">
        <f>ROUND(NumClients*Annual_growthrate,1)</f>
        <v>800</v>
      </c>
      <c r="E59" s="70">
        <v>3</v>
      </c>
      <c r="F59" s="64"/>
      <c r="G59" s="64"/>
      <c r="H59" s="64"/>
      <c r="I59" s="64"/>
      <c r="J59" s="64"/>
      <c r="K59" s="64"/>
      <c r="L59" s="64"/>
      <c r="M59" s="64"/>
      <c r="N59" s="64"/>
      <c r="O59" s="64"/>
    </row>
    <row r="60" spans="1:15" ht="15" customHeight="1">
      <c r="A60" s="64"/>
      <c r="B60" s="120" t="s">
        <v>52</v>
      </c>
      <c r="C60" s="110">
        <f>ROUND(C57*NumClients,1)</f>
        <v>400</v>
      </c>
      <c r="D60" s="110">
        <f>ROUND(D57*NumClients,1)</f>
        <v>400</v>
      </c>
      <c r="E60" s="70">
        <v>4</v>
      </c>
      <c r="F60" s="64"/>
      <c r="G60" s="64"/>
      <c r="H60" s="64"/>
      <c r="I60" s="64"/>
      <c r="J60" s="64"/>
      <c r="K60" s="64"/>
      <c r="L60" s="64"/>
      <c r="M60" s="64"/>
      <c r="N60" s="64"/>
      <c r="O60" s="64"/>
    </row>
    <row r="61" spans="1:15" ht="15" customHeight="1">
      <c r="A61" s="64"/>
      <c r="B61" s="120" t="s">
        <v>51</v>
      </c>
      <c r="C61" s="110">
        <f>SUM(C58:C59)</f>
        <v>2800</v>
      </c>
      <c r="D61" s="110">
        <f>SUM(D58:D59)</f>
        <v>2400</v>
      </c>
      <c r="E61" s="70">
        <v>5</v>
      </c>
      <c r="F61" s="64"/>
      <c r="G61" s="64"/>
      <c r="H61" s="64"/>
      <c r="I61" s="64"/>
      <c r="J61" s="64"/>
      <c r="K61" s="64"/>
      <c r="L61" s="64"/>
      <c r="M61" s="64"/>
      <c r="N61" s="64"/>
      <c r="O61" s="64"/>
    </row>
    <row r="62" spans="1:15" ht="15" customHeight="1">
      <c r="A62" s="64"/>
      <c r="B62" s="120" t="s">
        <v>53</v>
      </c>
      <c r="C62" s="110">
        <f>C58</f>
        <v>2000</v>
      </c>
      <c r="D62" s="110">
        <f>D58</f>
        <v>1600</v>
      </c>
      <c r="E62" s="70">
        <v>6</v>
      </c>
      <c r="F62" s="64"/>
      <c r="G62" s="64"/>
      <c r="H62" s="64"/>
      <c r="I62" s="64"/>
      <c r="J62" s="64"/>
      <c r="K62" s="64"/>
      <c r="L62" s="64"/>
      <c r="M62" s="64"/>
      <c r="N62" s="64"/>
      <c r="O62" s="64"/>
    </row>
    <row r="63" spans="1:15" ht="15" customHeight="1">
      <c r="A63" s="64"/>
      <c r="B63" s="68" t="s">
        <v>266</v>
      </c>
      <c r="C63" s="121">
        <f>100%-Questionnaire!C23</f>
        <v>0.020000000000000018</v>
      </c>
      <c r="D63" s="121">
        <f>100%-Questionnaire!D23</f>
        <v>0.020000000000000018</v>
      </c>
      <c r="E63" s="70">
        <v>7</v>
      </c>
      <c r="F63" s="64"/>
      <c r="G63" s="64"/>
      <c r="H63" s="64"/>
      <c r="I63" s="64"/>
      <c r="J63" s="64"/>
      <c r="K63" s="64"/>
      <c r="L63" s="64"/>
      <c r="M63" s="64"/>
      <c r="N63" s="64"/>
      <c r="O63" s="64"/>
    </row>
    <row r="64" spans="1:15" ht="15" customHeight="1">
      <c r="A64" s="64"/>
      <c r="B64" s="68" t="s">
        <v>253</v>
      </c>
      <c r="C64" s="116">
        <v>0</v>
      </c>
      <c r="D64" s="116">
        <v>0</v>
      </c>
      <c r="E64" s="70">
        <v>8</v>
      </c>
      <c r="F64" s="64"/>
      <c r="G64" s="64"/>
      <c r="H64" s="64"/>
      <c r="I64" s="64"/>
      <c r="J64" s="64"/>
      <c r="K64" s="64"/>
      <c r="L64" s="64"/>
      <c r="M64" s="64"/>
      <c r="N64" s="64"/>
      <c r="O64" s="64"/>
    </row>
    <row r="65" spans="1:15" ht="24" customHeight="1">
      <c r="A65" s="64"/>
      <c r="B65" s="120" t="s">
        <v>258</v>
      </c>
      <c r="C65" s="110">
        <f>ROUND((C63+C64)*(Questionnaire!C60),1)</f>
        <v>8</v>
      </c>
      <c r="D65" s="110">
        <f>ROUND((D63+D64)*(Questionnaire!D60),1)</f>
        <v>8</v>
      </c>
      <c r="E65" s="70">
        <v>9</v>
      </c>
      <c r="F65" s="64"/>
      <c r="G65" s="64"/>
      <c r="H65" s="64"/>
      <c r="I65" s="64"/>
      <c r="J65" s="64"/>
      <c r="K65" s="64"/>
      <c r="L65" s="64"/>
      <c r="M65" s="64"/>
      <c r="N65" s="64"/>
      <c r="O65" s="64"/>
    </row>
    <row r="66" spans="1:15" ht="24" customHeight="1">
      <c r="A66" s="64"/>
      <c r="B66" s="120" t="s">
        <v>257</v>
      </c>
      <c r="C66" s="110">
        <f>ROUND((C63+C64)*(Questionnaire!C61),1)</f>
        <v>56</v>
      </c>
      <c r="D66" s="110">
        <f>(D63+D64)*(Questionnaire!D61)</f>
        <v>48.00000000000004</v>
      </c>
      <c r="E66" s="70">
        <v>10</v>
      </c>
      <c r="F66" s="64"/>
      <c r="G66" s="64"/>
      <c r="H66" s="64"/>
      <c r="I66" s="64"/>
      <c r="J66" s="64"/>
      <c r="K66" s="64"/>
      <c r="L66" s="64"/>
      <c r="M66" s="64"/>
      <c r="N66" s="64"/>
      <c r="O66" s="64"/>
    </row>
    <row r="67" spans="1:15" ht="15" customHeight="1">
      <c r="A67" s="64"/>
      <c r="B67" s="64"/>
      <c r="C67" s="64"/>
      <c r="D67" s="64"/>
      <c r="E67" s="64"/>
      <c r="F67" s="64"/>
      <c r="G67" s="64"/>
      <c r="H67" s="64"/>
      <c r="I67" s="64"/>
      <c r="J67" s="64"/>
      <c r="K67" s="64"/>
      <c r="L67" s="64"/>
      <c r="M67" s="64"/>
      <c r="N67" s="64"/>
      <c r="O67" s="64"/>
    </row>
    <row r="68" spans="1:15" ht="15" customHeight="1">
      <c r="A68" s="64"/>
      <c r="B68" s="283" t="s">
        <v>206</v>
      </c>
      <c r="C68" s="284"/>
      <c r="D68" s="284"/>
      <c r="E68" s="113"/>
      <c r="F68" s="64"/>
      <c r="G68" s="64"/>
      <c r="H68" s="64"/>
      <c r="I68" s="64"/>
      <c r="J68" s="64"/>
      <c r="K68" s="64"/>
      <c r="L68" s="64"/>
      <c r="M68" s="64"/>
      <c r="N68" s="64"/>
      <c r="O68" s="64"/>
    </row>
    <row r="69" spans="1:15" ht="15" customHeight="1">
      <c r="A69" s="64"/>
      <c r="B69" s="290" t="s">
        <v>271</v>
      </c>
      <c r="C69" s="291"/>
      <c r="D69" s="123">
        <v>35</v>
      </c>
      <c r="E69" s="70">
        <v>1</v>
      </c>
      <c r="F69" s="64"/>
      <c r="G69" s="64"/>
      <c r="H69" s="64"/>
      <c r="I69" s="64"/>
      <c r="J69" s="64"/>
      <c r="K69" s="64"/>
      <c r="L69" s="64"/>
      <c r="M69" s="64"/>
      <c r="N69" s="64"/>
      <c r="O69" s="64"/>
    </row>
    <row r="70" spans="1:15" ht="39" customHeight="1">
      <c r="A70" s="64"/>
      <c r="B70" s="114"/>
      <c r="C70" s="115" t="s">
        <v>129</v>
      </c>
      <c r="D70" s="90" t="s">
        <v>1</v>
      </c>
      <c r="E70" s="113"/>
      <c r="F70" s="64"/>
      <c r="G70" s="64"/>
      <c r="H70" s="64"/>
      <c r="I70" s="64"/>
      <c r="J70" s="64"/>
      <c r="K70" s="64"/>
      <c r="L70" s="64"/>
      <c r="M70" s="64"/>
      <c r="N70" s="64"/>
      <c r="O70" s="64"/>
    </row>
    <row r="71" spans="1:15" ht="15" customHeight="1">
      <c r="A71" s="64"/>
      <c r="B71" s="107" t="s">
        <v>209</v>
      </c>
      <c r="C71" s="124">
        <f>Questionnaire!$C$23</f>
        <v>0.98</v>
      </c>
      <c r="D71" s="124">
        <f>Questionnaire!$D$23</f>
        <v>0.98</v>
      </c>
      <c r="E71" s="70">
        <v>2</v>
      </c>
      <c r="F71" s="64"/>
      <c r="G71" s="64"/>
      <c r="H71" s="64"/>
      <c r="I71" s="64"/>
      <c r="J71" s="64"/>
      <c r="K71" s="64"/>
      <c r="L71" s="64"/>
      <c r="M71" s="64"/>
      <c r="N71" s="64"/>
      <c r="O71" s="64"/>
    </row>
    <row r="72" spans="1:15" ht="24" customHeight="1">
      <c r="A72" s="64"/>
      <c r="B72" s="107" t="s">
        <v>284</v>
      </c>
      <c r="C72" s="71">
        <v>0.02</v>
      </c>
      <c r="D72" s="71">
        <v>0.01</v>
      </c>
      <c r="E72" s="70">
        <v>3</v>
      </c>
      <c r="F72" s="64"/>
      <c r="G72" s="64"/>
      <c r="H72" s="64"/>
      <c r="I72" s="64"/>
      <c r="J72" s="64"/>
      <c r="K72" s="64"/>
      <c r="L72" s="64"/>
      <c r="M72" s="64"/>
      <c r="N72" s="64"/>
      <c r="O72" s="64"/>
    </row>
    <row r="73" spans="1:15" ht="15" customHeight="1">
      <c r="A73" s="64"/>
      <c r="B73" s="64"/>
      <c r="C73" s="64"/>
      <c r="D73" s="64"/>
      <c r="E73" s="64"/>
      <c r="F73" s="64"/>
      <c r="G73" s="64"/>
      <c r="H73" s="64"/>
      <c r="I73" s="64"/>
      <c r="J73" s="64"/>
      <c r="K73" s="64"/>
      <c r="L73" s="64"/>
      <c r="M73" s="64"/>
      <c r="N73" s="64"/>
      <c r="O73" s="64"/>
    </row>
    <row r="74" spans="1:15" ht="15" customHeight="1">
      <c r="A74" s="64"/>
      <c r="B74" s="283" t="s">
        <v>203</v>
      </c>
      <c r="C74" s="284"/>
      <c r="D74" s="284"/>
      <c r="E74" s="92"/>
      <c r="F74" s="64"/>
      <c r="G74" s="64"/>
      <c r="H74" s="64"/>
      <c r="I74" s="64"/>
      <c r="J74" s="64"/>
      <c r="K74" s="64"/>
      <c r="L74" s="64"/>
      <c r="M74" s="64"/>
      <c r="N74" s="64"/>
      <c r="O74" s="64"/>
    </row>
    <row r="75" spans="1:15" ht="39" customHeight="1">
      <c r="A75" s="64"/>
      <c r="B75" s="89"/>
      <c r="C75" s="106" t="s">
        <v>129</v>
      </c>
      <c r="D75" s="90" t="s">
        <v>1</v>
      </c>
      <c r="E75" s="92"/>
      <c r="F75" s="64"/>
      <c r="G75" s="64"/>
      <c r="H75" s="64"/>
      <c r="I75" s="64"/>
      <c r="J75" s="64"/>
      <c r="K75" s="64"/>
      <c r="L75" s="64"/>
      <c r="M75" s="64"/>
      <c r="N75" s="64"/>
      <c r="O75" s="64"/>
    </row>
    <row r="76" spans="1:15" ht="15" customHeight="1">
      <c r="A76" s="64"/>
      <c r="B76" s="107" t="s">
        <v>173</v>
      </c>
      <c r="C76" s="108">
        <v>11</v>
      </c>
      <c r="D76" s="108">
        <v>11</v>
      </c>
      <c r="E76" s="70">
        <v>1</v>
      </c>
      <c r="F76" s="64"/>
      <c r="G76" s="64"/>
      <c r="H76" s="64"/>
      <c r="I76" s="64"/>
      <c r="J76" s="64"/>
      <c r="K76" s="64"/>
      <c r="L76" s="64"/>
      <c r="M76" s="64"/>
      <c r="N76" s="64"/>
      <c r="O76" s="64"/>
    </row>
    <row r="77" spans="1:15" ht="35.25" customHeight="1">
      <c r="A77" s="64"/>
      <c r="B77" s="107" t="s">
        <v>263</v>
      </c>
      <c r="C77" s="125">
        <v>1</v>
      </c>
      <c r="D77" s="126">
        <v>1</v>
      </c>
      <c r="E77" s="70">
        <v>2</v>
      </c>
      <c r="F77" s="64"/>
      <c r="G77" s="64"/>
      <c r="H77" s="64"/>
      <c r="I77" s="64"/>
      <c r="J77" s="64"/>
      <c r="K77" s="64"/>
      <c r="L77" s="64"/>
      <c r="M77" s="64"/>
      <c r="N77" s="64"/>
      <c r="O77" s="64"/>
    </row>
    <row r="78" spans="1:15" ht="15" customHeight="1">
      <c r="A78" s="64"/>
      <c r="B78" s="64"/>
      <c r="C78" s="64"/>
      <c r="D78" s="64"/>
      <c r="E78" s="64"/>
      <c r="F78" s="64"/>
      <c r="G78" s="64"/>
      <c r="H78" s="64"/>
      <c r="I78" s="64"/>
      <c r="J78" s="64"/>
      <c r="K78" s="64"/>
      <c r="L78" s="64"/>
      <c r="M78" s="64"/>
      <c r="N78" s="64"/>
      <c r="O78" s="64"/>
    </row>
    <row r="79" spans="1:15" ht="15" customHeight="1">
      <c r="A79" s="64"/>
      <c r="B79" s="64"/>
      <c r="C79" s="64"/>
      <c r="D79" s="64"/>
      <c r="E79" s="64"/>
      <c r="F79" s="64"/>
      <c r="G79" s="64"/>
      <c r="H79" s="64"/>
      <c r="I79" s="64"/>
      <c r="J79" s="64"/>
      <c r="K79" s="64"/>
      <c r="L79" s="64"/>
      <c r="M79" s="64"/>
      <c r="N79" s="64"/>
      <c r="O79" s="64"/>
    </row>
    <row r="80" spans="1:15" ht="15" customHeight="1">
      <c r="A80" s="64"/>
      <c r="B80" s="64"/>
      <c r="C80" s="64"/>
      <c r="D80" s="64"/>
      <c r="E80" s="64"/>
      <c r="F80" s="64"/>
      <c r="G80" s="64"/>
      <c r="H80" s="64"/>
      <c r="I80" s="64"/>
      <c r="J80" s="64"/>
      <c r="K80" s="64"/>
      <c r="L80" s="64"/>
      <c r="M80" s="64"/>
      <c r="N80" s="64"/>
      <c r="O80" s="64"/>
    </row>
    <row r="81" spans="1:15" ht="15" customHeight="1">
      <c r="A81" s="64"/>
      <c r="B81" s="64"/>
      <c r="C81" s="64"/>
      <c r="D81" s="64"/>
      <c r="E81" s="64"/>
      <c r="F81" s="64"/>
      <c r="G81" s="64"/>
      <c r="H81" s="64"/>
      <c r="I81" s="64"/>
      <c r="J81" s="64"/>
      <c r="K81" s="64"/>
      <c r="L81" s="64"/>
      <c r="M81" s="64"/>
      <c r="N81" s="64"/>
      <c r="O81" s="64"/>
    </row>
    <row r="82" spans="1:15" ht="15" customHeight="1">
      <c r="A82" s="64"/>
      <c r="B82" s="64"/>
      <c r="C82" s="64"/>
      <c r="D82" s="64"/>
      <c r="E82" s="64"/>
      <c r="F82" s="64"/>
      <c r="G82" s="64"/>
      <c r="H82" s="64"/>
      <c r="I82" s="64"/>
      <c r="J82" s="64"/>
      <c r="K82" s="64"/>
      <c r="L82" s="64"/>
      <c r="M82" s="64"/>
      <c r="N82" s="64"/>
      <c r="O82" s="64"/>
    </row>
    <row r="83" spans="1:15" ht="15" customHeight="1">
      <c r="A83" s="64"/>
      <c r="B83" s="64"/>
      <c r="C83" s="64"/>
      <c r="D83" s="64"/>
      <c r="E83" s="64"/>
      <c r="F83" s="64"/>
      <c r="G83" s="64"/>
      <c r="H83" s="64"/>
      <c r="I83" s="64"/>
      <c r="J83" s="64"/>
      <c r="K83" s="64"/>
      <c r="L83" s="64"/>
      <c r="M83" s="64"/>
      <c r="N83" s="64"/>
      <c r="O83" s="64"/>
    </row>
    <row r="84" spans="1:15" ht="15" customHeight="1">
      <c r="A84" s="64"/>
      <c r="B84" s="64"/>
      <c r="C84" s="64"/>
      <c r="D84" s="64"/>
      <c r="E84" s="64"/>
      <c r="F84" s="64"/>
      <c r="G84" s="64"/>
      <c r="H84" s="64"/>
      <c r="I84" s="64"/>
      <c r="J84" s="64"/>
      <c r="K84" s="64"/>
      <c r="L84" s="64"/>
      <c r="M84" s="64"/>
      <c r="N84" s="64"/>
      <c r="O84" s="64"/>
    </row>
    <row r="85" spans="1:15" ht="15" customHeight="1">
      <c r="A85" s="64"/>
      <c r="B85" s="64"/>
      <c r="C85" s="64"/>
      <c r="D85" s="64"/>
      <c r="E85" s="64"/>
      <c r="F85" s="64"/>
      <c r="G85" s="64"/>
      <c r="H85" s="64"/>
      <c r="I85" s="64"/>
      <c r="J85" s="64"/>
      <c r="K85" s="64"/>
      <c r="L85" s="64"/>
      <c r="M85" s="64"/>
      <c r="N85" s="64"/>
      <c r="O85" s="64"/>
    </row>
    <row r="86" spans="1:15" ht="15" customHeight="1">
      <c r="A86" s="64"/>
      <c r="B86" s="64"/>
      <c r="C86" s="64"/>
      <c r="D86" s="64"/>
      <c r="E86" s="64"/>
      <c r="F86" s="64"/>
      <c r="G86" s="64"/>
      <c r="H86" s="64"/>
      <c r="I86" s="64"/>
      <c r="J86" s="64"/>
      <c r="K86" s="64"/>
      <c r="L86" s="64"/>
      <c r="M86" s="64"/>
      <c r="N86" s="64"/>
      <c r="O86" s="64"/>
    </row>
    <row r="87" spans="1:15" ht="15" customHeight="1">
      <c r="A87" s="64"/>
      <c r="B87" s="64"/>
      <c r="C87" s="64"/>
      <c r="D87" s="64"/>
      <c r="E87" s="64"/>
      <c r="F87" s="64"/>
      <c r="G87" s="64"/>
      <c r="H87" s="64"/>
      <c r="I87" s="64"/>
      <c r="J87" s="64"/>
      <c r="K87" s="64"/>
      <c r="L87" s="64"/>
      <c r="M87" s="64"/>
      <c r="N87" s="64"/>
      <c r="O87" s="64"/>
    </row>
    <row r="88" spans="1:15" ht="15" customHeight="1">
      <c r="A88" s="64"/>
      <c r="B88" s="64"/>
      <c r="C88" s="64"/>
      <c r="D88" s="64"/>
      <c r="E88" s="64"/>
      <c r="F88" s="64"/>
      <c r="G88" s="64"/>
      <c r="H88" s="64"/>
      <c r="I88" s="64"/>
      <c r="J88" s="64"/>
      <c r="K88" s="64"/>
      <c r="L88" s="64"/>
      <c r="M88" s="64"/>
      <c r="N88" s="64"/>
      <c r="O88" s="64"/>
    </row>
    <row r="89" spans="1:15" ht="15" customHeight="1">
      <c r="A89" s="64"/>
      <c r="B89" s="64"/>
      <c r="C89" s="64"/>
      <c r="D89" s="64"/>
      <c r="E89" s="64"/>
      <c r="F89" s="64"/>
      <c r="G89" s="64"/>
      <c r="H89" s="64"/>
      <c r="I89" s="64"/>
      <c r="J89" s="64"/>
      <c r="K89" s="64"/>
      <c r="L89" s="64"/>
      <c r="M89" s="64"/>
      <c r="N89" s="64"/>
      <c r="O89" s="64"/>
    </row>
    <row r="90" spans="1:15" ht="15" customHeight="1">
      <c r="A90" s="64"/>
      <c r="B90" s="64"/>
      <c r="C90" s="64"/>
      <c r="D90" s="64"/>
      <c r="E90" s="64"/>
      <c r="F90" s="64"/>
      <c r="G90" s="64"/>
      <c r="H90" s="64"/>
      <c r="I90" s="64"/>
      <c r="J90" s="64"/>
      <c r="K90" s="64"/>
      <c r="L90" s="64"/>
      <c r="M90" s="64"/>
      <c r="N90" s="64"/>
      <c r="O90" s="64"/>
    </row>
    <row r="91" spans="1:15" ht="15" customHeight="1">
      <c r="A91" s="64"/>
      <c r="B91" s="64"/>
      <c r="C91" s="64"/>
      <c r="D91" s="64"/>
      <c r="E91" s="64"/>
      <c r="F91" s="64"/>
      <c r="G91" s="64"/>
      <c r="H91" s="64"/>
      <c r="I91" s="64"/>
      <c r="J91" s="64"/>
      <c r="K91" s="64"/>
      <c r="L91" s="64"/>
      <c r="M91" s="64"/>
      <c r="N91" s="64"/>
      <c r="O91" s="64"/>
    </row>
    <row r="92" spans="1:15" ht="15" customHeight="1">
      <c r="A92" s="64"/>
      <c r="B92" s="64"/>
      <c r="C92" s="64"/>
      <c r="D92" s="64"/>
      <c r="E92" s="64"/>
      <c r="F92" s="64"/>
      <c r="G92" s="64"/>
      <c r="H92" s="64"/>
      <c r="I92" s="64"/>
      <c r="J92" s="64"/>
      <c r="K92" s="64"/>
      <c r="L92" s="64"/>
      <c r="M92" s="64"/>
      <c r="N92" s="64"/>
      <c r="O92" s="64"/>
    </row>
    <row r="93" spans="1:15" ht="15" customHeight="1">
      <c r="A93" s="64"/>
      <c r="B93" s="64"/>
      <c r="C93" s="64"/>
      <c r="D93" s="64"/>
      <c r="E93" s="64"/>
      <c r="F93" s="64"/>
      <c r="G93" s="64"/>
      <c r="H93" s="64"/>
      <c r="I93" s="64"/>
      <c r="J93" s="64"/>
      <c r="K93" s="64"/>
      <c r="L93" s="64"/>
      <c r="M93" s="64"/>
      <c r="N93" s="64"/>
      <c r="O93" s="64"/>
    </row>
    <row r="94" spans="1:15" ht="15" customHeight="1">
      <c r="A94" s="64"/>
      <c r="B94" s="64"/>
      <c r="C94" s="64"/>
      <c r="D94" s="64"/>
      <c r="E94" s="64"/>
      <c r="F94" s="64"/>
      <c r="G94" s="64"/>
      <c r="H94" s="64"/>
      <c r="I94" s="64"/>
      <c r="J94" s="64"/>
      <c r="K94" s="64"/>
      <c r="L94" s="64"/>
      <c r="M94" s="64"/>
      <c r="N94" s="64"/>
      <c r="O94" s="64"/>
    </row>
    <row r="95" spans="1:15" ht="15" customHeight="1">
      <c r="A95" s="64"/>
      <c r="B95" s="64"/>
      <c r="C95" s="64"/>
      <c r="D95" s="64"/>
      <c r="E95" s="64"/>
      <c r="F95" s="64"/>
      <c r="G95" s="64"/>
      <c r="H95" s="64"/>
      <c r="I95" s="64"/>
      <c r="J95" s="64"/>
      <c r="K95" s="64"/>
      <c r="L95" s="64"/>
      <c r="M95" s="64"/>
      <c r="N95" s="64"/>
      <c r="O95" s="64"/>
    </row>
    <row r="96" spans="1:15" ht="15" customHeight="1">
      <c r="A96" s="64"/>
      <c r="B96" s="64"/>
      <c r="C96" s="64"/>
      <c r="D96" s="64"/>
      <c r="E96" s="64"/>
      <c r="F96" s="64"/>
      <c r="G96" s="64"/>
      <c r="H96" s="64"/>
      <c r="I96" s="64"/>
      <c r="J96" s="64"/>
      <c r="K96" s="64"/>
      <c r="L96" s="64"/>
      <c r="M96" s="64"/>
      <c r="N96" s="64"/>
      <c r="O96" s="64"/>
    </row>
    <row r="97" spans="1:15" ht="15" customHeight="1">
      <c r="A97" s="64"/>
      <c r="B97" s="64"/>
      <c r="C97" s="64"/>
      <c r="D97" s="64"/>
      <c r="E97" s="64"/>
      <c r="F97" s="64"/>
      <c r="G97" s="64"/>
      <c r="H97" s="64"/>
      <c r="I97" s="64"/>
      <c r="J97" s="64"/>
      <c r="K97" s="64"/>
      <c r="L97" s="64"/>
      <c r="M97" s="64"/>
      <c r="N97" s="64"/>
      <c r="O97" s="64"/>
    </row>
    <row r="98" spans="1:15" ht="15" customHeight="1">
      <c r="A98" s="64"/>
      <c r="B98" s="64"/>
      <c r="C98" s="64"/>
      <c r="D98" s="64"/>
      <c r="E98" s="64"/>
      <c r="F98" s="64"/>
      <c r="G98" s="64"/>
      <c r="H98" s="64"/>
      <c r="I98" s="64"/>
      <c r="J98" s="64"/>
      <c r="K98" s="64"/>
      <c r="L98" s="64"/>
      <c r="M98" s="64"/>
      <c r="N98" s="64"/>
      <c r="O98" s="64"/>
    </row>
    <row r="99" spans="1:15" ht="15" customHeight="1">
      <c r="A99" s="64"/>
      <c r="B99" s="64"/>
      <c r="C99" s="64"/>
      <c r="D99" s="64"/>
      <c r="E99" s="64"/>
      <c r="F99" s="64"/>
      <c r="G99" s="64"/>
      <c r="H99" s="64"/>
      <c r="I99" s="64"/>
      <c r="J99" s="64"/>
      <c r="K99" s="64"/>
      <c r="L99" s="64"/>
      <c r="M99" s="64"/>
      <c r="N99" s="64"/>
      <c r="O99" s="64"/>
    </row>
    <row r="100" spans="1:15" ht="15" customHeight="1">
      <c r="A100" s="64"/>
      <c r="B100" s="64"/>
      <c r="C100" s="64"/>
      <c r="D100" s="64"/>
      <c r="E100" s="64"/>
      <c r="F100" s="64"/>
      <c r="G100" s="64"/>
      <c r="H100" s="64"/>
      <c r="I100" s="64"/>
      <c r="J100" s="64"/>
      <c r="K100" s="64"/>
      <c r="L100" s="64"/>
      <c r="M100" s="64"/>
      <c r="N100" s="64"/>
      <c r="O100" s="64"/>
    </row>
    <row r="101" spans="1:15" ht="15" customHeight="1">
      <c r="A101" s="64"/>
      <c r="B101" s="64"/>
      <c r="C101" s="64"/>
      <c r="D101" s="64"/>
      <c r="E101" s="64"/>
      <c r="F101" s="64"/>
      <c r="G101" s="64"/>
      <c r="H101" s="64"/>
      <c r="I101" s="64"/>
      <c r="J101" s="64"/>
      <c r="K101" s="64"/>
      <c r="L101" s="64"/>
      <c r="M101" s="64"/>
      <c r="N101" s="64"/>
      <c r="O101" s="64"/>
    </row>
    <row r="102" spans="1:15" ht="15" customHeight="1">
      <c r="A102" s="64"/>
      <c r="B102" s="64"/>
      <c r="C102" s="64"/>
      <c r="D102" s="64"/>
      <c r="E102" s="64"/>
      <c r="F102" s="64"/>
      <c r="G102" s="64"/>
      <c r="H102" s="64"/>
      <c r="I102" s="64"/>
      <c r="J102" s="64"/>
      <c r="K102" s="64"/>
      <c r="L102" s="64"/>
      <c r="M102" s="64"/>
      <c r="N102" s="64"/>
      <c r="O102" s="64"/>
    </row>
    <row r="103" spans="1:15" ht="15" customHeight="1">
      <c r="A103" s="64"/>
      <c r="B103" s="64"/>
      <c r="C103" s="64"/>
      <c r="D103" s="64"/>
      <c r="E103" s="64"/>
      <c r="F103" s="64"/>
      <c r="G103" s="64"/>
      <c r="H103" s="64"/>
      <c r="I103" s="64"/>
      <c r="J103" s="64"/>
      <c r="K103" s="64"/>
      <c r="L103" s="64"/>
      <c r="M103" s="64"/>
      <c r="N103" s="64"/>
      <c r="O103" s="64"/>
    </row>
    <row r="104" spans="1:15" ht="15" customHeight="1">
      <c r="A104" s="64"/>
      <c r="B104" s="64"/>
      <c r="C104" s="64"/>
      <c r="D104" s="64"/>
      <c r="E104" s="64"/>
      <c r="F104" s="64"/>
      <c r="G104" s="64"/>
      <c r="H104" s="64"/>
      <c r="I104" s="64"/>
      <c r="J104" s="64"/>
      <c r="K104" s="64"/>
      <c r="L104" s="64"/>
      <c r="M104" s="64"/>
      <c r="N104" s="64"/>
      <c r="O104" s="64"/>
    </row>
    <row r="105" spans="1:15" ht="15" customHeight="1">
      <c r="A105" s="64"/>
      <c r="B105" s="64"/>
      <c r="C105" s="64"/>
      <c r="D105" s="64"/>
      <c r="E105" s="64"/>
      <c r="F105" s="64"/>
      <c r="G105" s="64"/>
      <c r="H105" s="64"/>
      <c r="I105" s="64"/>
      <c r="J105" s="64"/>
      <c r="K105" s="64"/>
      <c r="L105" s="64"/>
      <c r="M105" s="64"/>
      <c r="N105" s="64"/>
      <c r="O105" s="64"/>
    </row>
    <row r="106" spans="1:15" ht="15" customHeight="1">
      <c r="A106" s="64"/>
      <c r="B106" s="64"/>
      <c r="C106" s="64"/>
      <c r="D106" s="64"/>
      <c r="E106" s="64"/>
      <c r="F106" s="64"/>
      <c r="G106" s="64"/>
      <c r="H106" s="64"/>
      <c r="I106" s="64"/>
      <c r="J106" s="64"/>
      <c r="K106" s="64"/>
      <c r="L106" s="64"/>
      <c r="M106" s="64"/>
      <c r="N106" s="64"/>
      <c r="O106" s="64"/>
    </row>
    <row r="107" spans="1:15" ht="15" customHeight="1">
      <c r="A107" s="64"/>
      <c r="B107" s="64"/>
      <c r="C107" s="64"/>
      <c r="D107" s="64"/>
      <c r="E107" s="64"/>
      <c r="F107" s="64"/>
      <c r="G107" s="64"/>
      <c r="H107" s="64"/>
      <c r="I107" s="64"/>
      <c r="J107" s="64"/>
      <c r="K107" s="64"/>
      <c r="L107" s="64"/>
      <c r="M107" s="64"/>
      <c r="N107" s="64"/>
      <c r="O107" s="64"/>
    </row>
    <row r="108" spans="1:15" ht="15" customHeight="1">
      <c r="A108" s="64"/>
      <c r="B108" s="64"/>
      <c r="C108" s="64"/>
      <c r="D108" s="64"/>
      <c r="E108" s="64"/>
      <c r="F108" s="64"/>
      <c r="G108" s="64"/>
      <c r="H108" s="64"/>
      <c r="I108" s="64"/>
      <c r="J108" s="64"/>
      <c r="K108" s="64"/>
      <c r="L108" s="64"/>
      <c r="M108" s="64"/>
      <c r="N108" s="64"/>
      <c r="O108" s="64"/>
    </row>
    <row r="109" spans="1:15" ht="15" customHeight="1">
      <c r="A109" s="64"/>
      <c r="B109" s="64"/>
      <c r="C109" s="64"/>
      <c r="D109" s="64"/>
      <c r="E109" s="64"/>
      <c r="F109" s="64"/>
      <c r="G109" s="64"/>
      <c r="H109" s="64"/>
      <c r="I109" s="64"/>
      <c r="J109" s="64"/>
      <c r="K109" s="64"/>
      <c r="L109" s="64"/>
      <c r="M109" s="64"/>
      <c r="N109" s="64"/>
      <c r="O109" s="64"/>
    </row>
    <row r="110" spans="1:15" ht="15" customHeight="1">
      <c r="A110" s="64"/>
      <c r="B110" s="64"/>
      <c r="C110" s="64"/>
      <c r="D110" s="64"/>
      <c r="E110" s="64"/>
      <c r="F110" s="64"/>
      <c r="G110" s="64"/>
      <c r="H110" s="64"/>
      <c r="I110" s="64"/>
      <c r="J110" s="64"/>
      <c r="K110" s="64"/>
      <c r="L110" s="64"/>
      <c r="M110" s="64"/>
      <c r="N110" s="64"/>
      <c r="O110" s="64"/>
    </row>
    <row r="111" spans="1:15" ht="15" customHeight="1">
      <c r="A111" s="64"/>
      <c r="B111" s="64"/>
      <c r="C111" s="64"/>
      <c r="D111" s="64"/>
      <c r="E111" s="64"/>
      <c r="F111" s="64"/>
      <c r="G111" s="64"/>
      <c r="H111" s="64"/>
      <c r="I111" s="64"/>
      <c r="J111" s="64"/>
      <c r="K111" s="64"/>
      <c r="L111" s="64"/>
      <c r="M111" s="64"/>
      <c r="N111" s="64"/>
      <c r="O111" s="64"/>
    </row>
    <row r="112" spans="1:15" ht="15" customHeight="1">
      <c r="A112" s="64"/>
      <c r="B112" s="64"/>
      <c r="C112" s="64"/>
      <c r="D112" s="64"/>
      <c r="E112" s="64"/>
      <c r="F112" s="64"/>
      <c r="G112" s="64"/>
      <c r="H112" s="64"/>
      <c r="I112" s="64"/>
      <c r="J112" s="64"/>
      <c r="K112" s="64"/>
      <c r="L112" s="64"/>
      <c r="M112" s="64"/>
      <c r="N112" s="64"/>
      <c r="O112" s="64"/>
    </row>
    <row r="113" spans="1:15" ht="15" customHeight="1">
      <c r="A113" s="64"/>
      <c r="B113" s="64"/>
      <c r="C113" s="64"/>
      <c r="D113" s="64"/>
      <c r="E113" s="64"/>
      <c r="F113" s="64"/>
      <c r="G113" s="64"/>
      <c r="H113" s="64"/>
      <c r="I113" s="64"/>
      <c r="J113" s="64"/>
      <c r="K113" s="64"/>
      <c r="L113" s="64"/>
      <c r="M113" s="64"/>
      <c r="N113" s="64"/>
      <c r="O113" s="64"/>
    </row>
    <row r="114" spans="1:15" ht="15" customHeight="1">
      <c r="A114" s="64"/>
      <c r="B114" s="64"/>
      <c r="C114" s="64"/>
      <c r="D114" s="64"/>
      <c r="E114" s="64"/>
      <c r="F114" s="64"/>
      <c r="G114" s="64"/>
      <c r="H114" s="64"/>
      <c r="I114" s="64"/>
      <c r="J114" s="64"/>
      <c r="K114" s="64"/>
      <c r="L114" s="64"/>
      <c r="M114" s="64"/>
      <c r="N114" s="64"/>
      <c r="O114" s="64"/>
    </row>
    <row r="115" spans="1:15" ht="15" customHeight="1">
      <c r="A115" s="64"/>
      <c r="B115" s="64"/>
      <c r="C115" s="64"/>
      <c r="D115" s="64"/>
      <c r="E115" s="64"/>
      <c r="F115" s="64"/>
      <c r="G115" s="64"/>
      <c r="H115" s="64"/>
      <c r="I115" s="64"/>
      <c r="J115" s="64"/>
      <c r="K115" s="64"/>
      <c r="L115" s="64"/>
      <c r="M115" s="64"/>
      <c r="N115" s="64"/>
      <c r="O115" s="64"/>
    </row>
    <row r="116" spans="1:15" ht="15" customHeight="1">
      <c r="A116" s="64"/>
      <c r="B116" s="64"/>
      <c r="C116" s="64"/>
      <c r="D116" s="64"/>
      <c r="E116" s="64"/>
      <c r="F116" s="64"/>
      <c r="G116" s="64"/>
      <c r="H116" s="64"/>
      <c r="I116" s="64"/>
      <c r="J116" s="64"/>
      <c r="K116" s="64"/>
      <c r="L116" s="64"/>
      <c r="M116" s="64"/>
      <c r="N116" s="64"/>
      <c r="O116" s="64"/>
    </row>
    <row r="117" spans="1:15" ht="15" customHeight="1">
      <c r="A117" s="64"/>
      <c r="B117" s="64"/>
      <c r="C117" s="64"/>
      <c r="D117" s="64"/>
      <c r="E117" s="64"/>
      <c r="F117" s="64"/>
      <c r="G117" s="64"/>
      <c r="H117" s="64"/>
      <c r="I117" s="64"/>
      <c r="J117" s="64"/>
      <c r="K117" s="64"/>
      <c r="L117" s="64"/>
      <c r="M117" s="64"/>
      <c r="N117" s="64"/>
      <c r="O117" s="64"/>
    </row>
    <row r="118" spans="1:15" ht="15" customHeight="1">
      <c r="A118" s="64"/>
      <c r="B118" s="64"/>
      <c r="C118" s="64"/>
      <c r="D118" s="64"/>
      <c r="E118" s="64"/>
      <c r="F118" s="64"/>
      <c r="G118" s="64"/>
      <c r="H118" s="64"/>
      <c r="I118" s="64"/>
      <c r="J118" s="64"/>
      <c r="K118" s="64"/>
      <c r="L118" s="64"/>
      <c r="M118" s="64"/>
      <c r="N118" s="64"/>
      <c r="O118" s="64"/>
    </row>
    <row r="119" spans="1:15" ht="15" customHeight="1">
      <c r="A119" s="64"/>
      <c r="B119" s="64"/>
      <c r="C119" s="64"/>
      <c r="D119" s="64"/>
      <c r="E119" s="64"/>
      <c r="F119" s="64"/>
      <c r="G119" s="64"/>
      <c r="H119" s="64"/>
      <c r="I119" s="64"/>
      <c r="J119" s="64"/>
      <c r="K119" s="64"/>
      <c r="L119" s="64"/>
      <c r="M119" s="64"/>
      <c r="N119" s="64"/>
      <c r="O119" s="64"/>
    </row>
    <row r="120" spans="1:15" ht="15" customHeight="1">
      <c r="A120" s="64"/>
      <c r="B120" s="64"/>
      <c r="C120" s="64"/>
      <c r="D120" s="64"/>
      <c r="E120" s="64"/>
      <c r="F120" s="64"/>
      <c r="G120" s="64"/>
      <c r="H120" s="64"/>
      <c r="I120" s="64"/>
      <c r="J120" s="64"/>
      <c r="K120" s="64"/>
      <c r="L120" s="64"/>
      <c r="M120" s="64"/>
      <c r="N120" s="64"/>
      <c r="O120" s="64"/>
    </row>
    <row r="121" ht="15" customHeight="1">
      <c r="B121" s="64"/>
    </row>
    <row r="149" spans="1:8" ht="15" customHeight="1">
      <c r="A149" s="259"/>
      <c r="B149" s="259"/>
      <c r="C149" s="259"/>
      <c r="D149" s="259"/>
      <c r="E149" s="259"/>
      <c r="F149" s="259"/>
      <c r="G149" s="259"/>
      <c r="H149" s="259"/>
    </row>
    <row r="161" ht="15" customHeight="1">
      <c r="G161" s="65" t="s">
        <v>67</v>
      </c>
    </row>
  </sheetData>
  <sheetProtection sheet="1" objects="1" scenarios="1"/>
  <mergeCells count="12">
    <mergeCell ref="B68:D68"/>
    <mergeCell ref="B74:D74"/>
    <mergeCell ref="B49:C49"/>
    <mergeCell ref="B69:C69"/>
    <mergeCell ref="B1:H1"/>
    <mergeCell ref="B21:D21"/>
    <mergeCell ref="B48:D48"/>
    <mergeCell ref="B55:D55"/>
    <mergeCell ref="B28:C28"/>
    <mergeCell ref="B38:D38"/>
    <mergeCell ref="B3:C3"/>
    <mergeCell ref="B13:E13"/>
  </mergeCells>
  <printOptions/>
  <pageMargins left="0.3" right="0.3" top="0.3" bottom="0.3" header="0" footer="0"/>
  <pageSetup fitToHeight="9" horizontalDpi="600" verticalDpi="600" orientation="landscape" r:id="rId4"/>
  <rowBreaks count="5" manualBreakCount="5">
    <brk id="27" max="7" man="1"/>
    <brk id="54" max="7" man="1"/>
    <brk id="78" max="7" man="1"/>
    <brk id="113" max="255" man="1"/>
    <brk id="148" max="7" man="1"/>
  </rowBreaks>
  <drawing r:id="rId3"/>
  <legacyDrawing r:id="rId2"/>
</worksheet>
</file>

<file path=xl/worksheets/sheet4.xml><?xml version="1.0" encoding="utf-8"?>
<worksheet xmlns="http://schemas.openxmlformats.org/spreadsheetml/2006/main" xmlns:r="http://schemas.openxmlformats.org/officeDocument/2006/relationships">
  <sheetPr codeName="Sheet2">
    <tabColor theme="3"/>
  </sheetPr>
  <dimension ref="A1:K121"/>
  <sheetViews>
    <sheetView zoomScaleSheetLayoutView="100"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1.7109375" style="127" customWidth="1"/>
    <col min="2" max="2" width="30.421875" style="134" customWidth="1"/>
    <col min="3" max="6" width="12.00390625" style="127" customWidth="1"/>
    <col min="7" max="7" width="12.00390625" style="134" customWidth="1"/>
    <col min="8" max="10" width="12.00390625" style="127" customWidth="1"/>
    <col min="11" max="11" width="2.421875" style="65" customWidth="1"/>
    <col min="12" max="12" width="3.57421875" style="127" customWidth="1"/>
    <col min="13" max="16384" width="9.140625" style="127" customWidth="1"/>
  </cols>
  <sheetData>
    <row r="1" spans="1:10" ht="21.75" customHeight="1">
      <c r="A1" s="62"/>
      <c r="B1" s="287" t="s">
        <v>176</v>
      </c>
      <c r="C1" s="287"/>
      <c r="D1" s="287"/>
      <c r="E1" s="287"/>
      <c r="F1" s="287"/>
      <c r="G1" s="287"/>
      <c r="H1" s="287"/>
      <c r="I1" s="287"/>
      <c r="J1" s="287"/>
    </row>
    <row r="2" spans="2:11" ht="7.5" customHeight="1">
      <c r="B2" s="127"/>
      <c r="G2" s="127"/>
      <c r="K2" s="127"/>
    </row>
    <row r="3" spans="2:11" ht="27.75" customHeight="1">
      <c r="B3" s="299" t="s">
        <v>121</v>
      </c>
      <c r="C3" s="300"/>
      <c r="E3" s="262" t="s">
        <v>68</v>
      </c>
      <c r="F3" s="262"/>
      <c r="G3" s="262"/>
      <c r="H3" s="262"/>
      <c r="I3" s="262"/>
      <c r="K3" s="127"/>
    </row>
    <row r="4" spans="2:9" s="65" customFormat="1" ht="15" customHeight="1">
      <c r="B4" s="90" t="s">
        <v>2</v>
      </c>
      <c r="C4" s="128">
        <f>C91</f>
        <v>17.7</v>
      </c>
      <c r="E4" s="309" t="s">
        <v>117</v>
      </c>
      <c r="F4" s="309"/>
      <c r="G4" s="309"/>
      <c r="H4" s="309"/>
      <c r="I4" s="129" t="s">
        <v>69</v>
      </c>
    </row>
    <row r="5" spans="2:9" s="65" customFormat="1" ht="15" customHeight="1">
      <c r="B5" s="90" t="s">
        <v>1</v>
      </c>
      <c r="C5" s="128">
        <f>D91</f>
        <v>15.950000000000001</v>
      </c>
      <c r="E5" s="311" t="s">
        <v>74</v>
      </c>
      <c r="F5" s="311"/>
      <c r="G5" s="311"/>
      <c r="H5" s="311"/>
      <c r="I5" s="130" t="s">
        <v>88</v>
      </c>
    </row>
    <row r="6" spans="5:9" s="65" customFormat="1" ht="15" customHeight="1">
      <c r="E6" s="311" t="s">
        <v>75</v>
      </c>
      <c r="F6" s="311"/>
      <c r="G6" s="311"/>
      <c r="H6" s="311"/>
      <c r="I6" s="131" t="s">
        <v>295</v>
      </c>
    </row>
    <row r="7" spans="2:11" ht="9" customHeight="1">
      <c r="B7" s="127"/>
      <c r="G7" s="127"/>
      <c r="K7" s="127"/>
    </row>
    <row r="8" spans="2:10" ht="15" customHeight="1">
      <c r="B8" s="127"/>
      <c r="G8" s="127"/>
      <c r="J8" s="127" t="s">
        <v>67</v>
      </c>
    </row>
    <row r="9" spans="2:6" ht="15" customHeight="1">
      <c r="B9" s="281" t="s">
        <v>6</v>
      </c>
      <c r="C9" s="282"/>
      <c r="D9" s="282"/>
      <c r="E9" s="132"/>
      <c r="F9" s="133"/>
    </row>
    <row r="10" spans="2:10" s="132" customFormat="1" ht="39" customHeight="1">
      <c r="B10" s="135"/>
      <c r="C10" s="106" t="s">
        <v>129</v>
      </c>
      <c r="D10" s="106" t="s">
        <v>1</v>
      </c>
      <c r="E10" s="87"/>
      <c r="J10" s="136"/>
    </row>
    <row r="11" spans="2:6" s="137" customFormat="1" ht="22.5" customHeight="1">
      <c r="B11" s="138" t="s">
        <v>138</v>
      </c>
      <c r="C11" s="100">
        <v>0.9</v>
      </c>
      <c r="D11" s="100">
        <v>0.6</v>
      </c>
      <c r="E11" s="70">
        <v>1</v>
      </c>
      <c r="F11" s="67"/>
    </row>
    <row r="12" spans="2:6" s="137" customFormat="1" ht="24" customHeight="1">
      <c r="B12" s="138" t="s">
        <v>142</v>
      </c>
      <c r="C12" s="99">
        <f>ROUND(NumClients*C11,0)</f>
        <v>7200</v>
      </c>
      <c r="D12" s="99">
        <f>ROUND(NumClients*D11,0)</f>
        <v>4800</v>
      </c>
      <c r="E12" s="70">
        <v>2</v>
      </c>
      <c r="F12" s="67"/>
    </row>
    <row r="13" spans="2:11" ht="24">
      <c r="B13" s="68" t="s">
        <v>266</v>
      </c>
      <c r="C13" s="139">
        <f>100%-Questionnaire!C23</f>
        <v>0.020000000000000018</v>
      </c>
      <c r="D13" s="139">
        <f>100%-Questionnaire!D23</f>
        <v>0.020000000000000018</v>
      </c>
      <c r="E13" s="70">
        <v>3</v>
      </c>
      <c r="F13" s="67"/>
      <c r="G13" s="127"/>
      <c r="J13" s="136"/>
      <c r="K13" s="127"/>
    </row>
    <row r="14" spans="2:11" ht="24">
      <c r="B14" s="107" t="s">
        <v>294</v>
      </c>
      <c r="C14" s="140">
        <v>0</v>
      </c>
      <c r="D14" s="140">
        <v>0</v>
      </c>
      <c r="E14" s="70">
        <v>4</v>
      </c>
      <c r="F14" s="141"/>
      <c r="G14" s="127"/>
      <c r="J14" s="136"/>
      <c r="K14" s="127"/>
    </row>
    <row r="15" spans="2:11" ht="36">
      <c r="B15" s="142" t="s">
        <v>237</v>
      </c>
      <c r="C15" s="143">
        <f>ROUND(C12*(C13+C14),1)</f>
        <v>144</v>
      </c>
      <c r="D15" s="143">
        <f>ROUND(D12*(D13+D14),1)</f>
        <v>96</v>
      </c>
      <c r="E15" s="70">
        <v>5</v>
      </c>
      <c r="F15" s="141"/>
      <c r="G15" s="127"/>
      <c r="J15" s="136"/>
      <c r="K15" s="127"/>
    </row>
    <row r="16" ht="15" customHeight="1"/>
    <row r="17" spans="2:5" ht="15" customHeight="1">
      <c r="B17" s="281" t="s">
        <v>15</v>
      </c>
      <c r="C17" s="282"/>
      <c r="D17" s="282"/>
      <c r="E17" s="134"/>
    </row>
    <row r="18" spans="2:10" s="145" customFormat="1" ht="38.25" customHeight="1">
      <c r="B18" s="144"/>
      <c r="C18" s="106" t="s">
        <v>129</v>
      </c>
      <c r="D18" s="106" t="s">
        <v>1</v>
      </c>
      <c r="F18" s="133"/>
      <c r="J18" s="92"/>
    </row>
    <row r="19" spans="2:11" ht="24" customHeight="1">
      <c r="B19" s="146" t="s">
        <v>139</v>
      </c>
      <c r="C19" s="102">
        <v>0.9</v>
      </c>
      <c r="D19" s="102">
        <v>0.9</v>
      </c>
      <c r="E19" s="70">
        <v>1</v>
      </c>
      <c r="F19" s="67"/>
      <c r="G19" s="127"/>
      <c r="J19" s="137"/>
      <c r="K19" s="127"/>
    </row>
    <row r="20" spans="2:11" ht="23.25" customHeight="1">
      <c r="B20" s="146" t="s">
        <v>143</v>
      </c>
      <c r="C20" s="147">
        <f>ROUND(Questionnaire!C26*C19,1)</f>
        <v>19.8</v>
      </c>
      <c r="D20" s="147">
        <f>ROUND(Questionnaire!D26*D19,1)</f>
        <v>132.3</v>
      </c>
      <c r="E20" s="70">
        <v>2</v>
      </c>
      <c r="F20" s="67"/>
      <c r="G20" s="127"/>
      <c r="J20" s="137"/>
      <c r="K20" s="127"/>
    </row>
    <row r="21" spans="2:11" ht="24">
      <c r="B21" s="68" t="s">
        <v>238</v>
      </c>
      <c r="C21" s="148">
        <f>100%-ServerManageabilityRate</f>
        <v>0.020000000000000018</v>
      </c>
      <c r="D21" s="148">
        <f>100%-ServerManageabilityRate</f>
        <v>0.020000000000000018</v>
      </c>
      <c r="E21" s="70">
        <v>3</v>
      </c>
      <c r="F21" s="67"/>
      <c r="G21" s="127"/>
      <c r="J21" s="136"/>
      <c r="K21" s="127"/>
    </row>
    <row r="22" spans="2:11" ht="24">
      <c r="B22" s="68" t="s">
        <v>293</v>
      </c>
      <c r="C22" s="149">
        <v>0</v>
      </c>
      <c r="D22" s="149">
        <v>0</v>
      </c>
      <c r="E22" s="70">
        <v>4</v>
      </c>
      <c r="F22" s="141"/>
      <c r="G22" s="127"/>
      <c r="J22" s="136"/>
      <c r="K22" s="127"/>
    </row>
    <row r="23" spans="2:11" ht="24.75" customHeight="1">
      <c r="B23" s="142" t="s">
        <v>144</v>
      </c>
      <c r="C23" s="150">
        <f>ROUND(C20*(C21+C22),1)</f>
        <v>0.4</v>
      </c>
      <c r="D23" s="150">
        <f>ROUND(D20*(D21+D22),1)</f>
        <v>2.6</v>
      </c>
      <c r="E23" s="70">
        <v>5</v>
      </c>
      <c r="F23" s="141"/>
      <c r="G23" s="127"/>
      <c r="J23" s="136"/>
      <c r="K23" s="127"/>
    </row>
    <row r="24" spans="2:11" ht="24.75" customHeight="1">
      <c r="B24" s="142" t="s">
        <v>242</v>
      </c>
      <c r="C24" s="151">
        <f>Questionnaire!$C$25*C23</f>
        <v>160</v>
      </c>
      <c r="D24" s="151">
        <f>Questionnaire!$D$25*D23</f>
        <v>156</v>
      </c>
      <c r="E24" s="70">
        <v>6</v>
      </c>
      <c r="F24" s="67"/>
      <c r="G24" s="127"/>
      <c r="J24" s="136"/>
      <c r="K24" s="127"/>
    </row>
    <row r="25" ht="15" customHeight="1"/>
    <row r="26" spans="2:10" ht="15" customHeight="1">
      <c r="B26" s="312" t="s">
        <v>108</v>
      </c>
      <c r="C26" s="313"/>
      <c r="D26" s="313"/>
      <c r="E26" s="313"/>
      <c r="F26" s="313"/>
      <c r="G26" s="92"/>
      <c r="H26" s="92"/>
      <c r="I26" s="152"/>
      <c r="J26" s="152"/>
    </row>
    <row r="27" spans="2:11" s="152" customFormat="1" ht="39" customHeight="1">
      <c r="B27" s="153"/>
      <c r="C27" s="297" t="s">
        <v>160</v>
      </c>
      <c r="D27" s="298"/>
      <c r="E27" s="297" t="s">
        <v>239</v>
      </c>
      <c r="F27" s="310"/>
      <c r="H27" s="92"/>
      <c r="K27" s="65"/>
    </row>
    <row r="28" spans="2:8" s="92" customFormat="1" ht="39" customHeight="1">
      <c r="B28" s="154"/>
      <c r="C28" s="106" t="s">
        <v>129</v>
      </c>
      <c r="D28" s="155" t="s">
        <v>1</v>
      </c>
      <c r="E28" s="106" t="s">
        <v>129</v>
      </c>
      <c r="F28" s="155" t="s">
        <v>1</v>
      </c>
      <c r="H28" s="133"/>
    </row>
    <row r="29" spans="2:8" s="137" customFormat="1" ht="28.5" customHeight="1">
      <c r="B29" s="156" t="s">
        <v>17</v>
      </c>
      <c r="C29" s="157">
        <v>0.2</v>
      </c>
      <c r="D29" s="157">
        <v>0.2</v>
      </c>
      <c r="E29" s="158">
        <f aca="true" t="shared" si="0" ref="E29:F32">ROUND(C$15*C29,1)</f>
        <v>28.8</v>
      </c>
      <c r="F29" s="158">
        <f t="shared" si="0"/>
        <v>19.2</v>
      </c>
      <c r="G29" s="70">
        <v>1</v>
      </c>
      <c r="H29" s="67"/>
    </row>
    <row r="30" spans="2:8" s="137" customFormat="1" ht="26.25" customHeight="1">
      <c r="B30" s="159" t="s">
        <v>10</v>
      </c>
      <c r="C30" s="157">
        <v>0</v>
      </c>
      <c r="D30" s="157">
        <v>0</v>
      </c>
      <c r="E30" s="158">
        <f t="shared" si="0"/>
        <v>0</v>
      </c>
      <c r="F30" s="158">
        <f t="shared" si="0"/>
        <v>0</v>
      </c>
      <c r="H30" s="133"/>
    </row>
    <row r="31" spans="2:6" s="137" customFormat="1" ht="24">
      <c r="B31" s="156" t="s">
        <v>122</v>
      </c>
      <c r="C31" s="157">
        <v>0</v>
      </c>
      <c r="D31" s="157">
        <v>0</v>
      </c>
      <c r="E31" s="158">
        <f t="shared" si="0"/>
        <v>0</v>
      </c>
      <c r="F31" s="158">
        <f t="shared" si="0"/>
        <v>0</v>
      </c>
    </row>
    <row r="32" spans="2:6" s="137" customFormat="1" ht="24">
      <c r="B32" s="156" t="s">
        <v>159</v>
      </c>
      <c r="C32" s="157">
        <v>0.8</v>
      </c>
      <c r="D32" s="157">
        <v>0.8</v>
      </c>
      <c r="E32" s="158">
        <f t="shared" si="0"/>
        <v>115.2</v>
      </c>
      <c r="F32" s="158">
        <f t="shared" si="0"/>
        <v>76.8</v>
      </c>
    </row>
    <row r="33" ht="15"/>
    <row r="34" spans="2:8" ht="15" customHeight="1">
      <c r="B34" s="281" t="s">
        <v>105</v>
      </c>
      <c r="C34" s="282"/>
      <c r="D34" s="282"/>
      <c r="E34" s="282"/>
      <c r="F34" s="282"/>
      <c r="G34" s="145"/>
      <c r="H34" s="145"/>
    </row>
    <row r="35" spans="2:8" ht="25.5" customHeight="1">
      <c r="B35" s="160"/>
      <c r="C35" s="297" t="s">
        <v>161</v>
      </c>
      <c r="D35" s="298"/>
      <c r="E35" s="297" t="s">
        <v>133</v>
      </c>
      <c r="F35" s="310"/>
      <c r="H35" s="145"/>
    </row>
    <row r="36" spans="2:9" s="145" customFormat="1" ht="60">
      <c r="B36" s="161"/>
      <c r="C36" s="106" t="s">
        <v>129</v>
      </c>
      <c r="D36" s="155" t="s">
        <v>1</v>
      </c>
      <c r="E36" s="106" t="s">
        <v>129</v>
      </c>
      <c r="F36" s="155" t="s">
        <v>1</v>
      </c>
      <c r="I36" s="92"/>
    </row>
    <row r="37" spans="2:11" ht="24">
      <c r="B37" s="156" t="s">
        <v>17</v>
      </c>
      <c r="C37" s="157">
        <v>0.98</v>
      </c>
      <c r="D37" s="157">
        <v>0.98</v>
      </c>
      <c r="E37" s="347">
        <f>ROUNDUP(C37*C$23,0)</f>
        <v>1</v>
      </c>
      <c r="F37" s="347">
        <f>ROUNDUP(D37*D$23,0)</f>
        <v>3</v>
      </c>
      <c r="G37" s="70">
        <v>1</v>
      </c>
      <c r="H37" s="67"/>
      <c r="I37" s="137"/>
      <c r="K37" s="127"/>
    </row>
    <row r="38" spans="2:11" ht="15">
      <c r="B38" s="156" t="s">
        <v>240</v>
      </c>
      <c r="C38" s="157">
        <v>0.02</v>
      </c>
      <c r="D38" s="157">
        <v>0.02</v>
      </c>
      <c r="E38" s="347">
        <f>ROUNDUP(C38*C$23,0)</f>
        <v>1</v>
      </c>
      <c r="F38" s="347">
        <f>ROUNDUP(D38*D$23,0)</f>
        <v>1</v>
      </c>
      <c r="G38" s="127"/>
      <c r="I38" s="65"/>
      <c r="K38" s="127"/>
    </row>
    <row r="39" ht="15"/>
    <row r="40" spans="2:11" ht="15" customHeight="1">
      <c r="B40" s="281" t="s">
        <v>241</v>
      </c>
      <c r="C40" s="282"/>
      <c r="D40" s="282"/>
      <c r="E40" s="282"/>
      <c r="F40" s="282"/>
      <c r="G40" s="282"/>
      <c r="H40" s="282"/>
      <c r="I40" s="282"/>
      <c r="J40" s="314"/>
      <c r="K40" s="162"/>
    </row>
    <row r="41" spans="2:10" s="92" customFormat="1" ht="65.25" customHeight="1">
      <c r="B41" s="144"/>
      <c r="C41" s="163" t="s">
        <v>89</v>
      </c>
      <c r="D41" s="163" t="s">
        <v>90</v>
      </c>
      <c r="E41" s="163" t="s">
        <v>162</v>
      </c>
      <c r="F41" s="163" t="s">
        <v>103</v>
      </c>
      <c r="G41" s="163" t="s">
        <v>91</v>
      </c>
      <c r="H41" s="163" t="s">
        <v>29</v>
      </c>
      <c r="I41" s="163" t="s">
        <v>62</v>
      </c>
      <c r="J41" s="163" t="s">
        <v>31</v>
      </c>
    </row>
    <row r="42" spans="2:11" s="65" customFormat="1" ht="15" customHeight="1">
      <c r="B42" s="292" t="s">
        <v>60</v>
      </c>
      <c r="C42" s="292"/>
      <c r="D42" s="292"/>
      <c r="E42" s="292"/>
      <c r="F42" s="292"/>
      <c r="G42" s="292"/>
      <c r="H42" s="292"/>
      <c r="I42" s="292"/>
      <c r="J42" s="292"/>
      <c r="K42" s="70">
        <v>1</v>
      </c>
    </row>
    <row r="43" spans="2:10" s="65" customFormat="1" ht="24">
      <c r="B43" s="164" t="s">
        <v>2</v>
      </c>
      <c r="C43" s="165">
        <v>0</v>
      </c>
      <c r="D43" s="166">
        <v>840</v>
      </c>
      <c r="E43" s="166">
        <v>0</v>
      </c>
      <c r="F43" s="166">
        <v>240</v>
      </c>
      <c r="G43" s="166">
        <v>0</v>
      </c>
      <c r="H43" s="166">
        <v>0</v>
      </c>
      <c r="I43" s="166">
        <v>0</v>
      </c>
      <c r="J43" s="167">
        <f>ROUND((C43*L1_Minute)+((D43+(F43*ClientConfigsPatched))*L2_Minute)+((E43+G43)*L3_Minute)+(H43*User_Minute)+I43,2)</f>
        <v>1795.97</v>
      </c>
    </row>
    <row r="44" spans="2:10" s="65" customFormat="1" ht="24">
      <c r="B44" s="164" t="s">
        <v>1</v>
      </c>
      <c r="C44" s="166">
        <v>0</v>
      </c>
      <c r="D44" s="166">
        <v>840</v>
      </c>
      <c r="E44" s="166">
        <v>0</v>
      </c>
      <c r="F44" s="166">
        <v>240</v>
      </c>
      <c r="G44" s="166">
        <v>0</v>
      </c>
      <c r="H44" s="166">
        <v>0</v>
      </c>
      <c r="I44" s="166">
        <v>0</v>
      </c>
      <c r="J44" s="167">
        <f>ROUND((C44*L1_Minute)+((D44+(F44*ClientConfigsPatched))*L2_Minute)+((E44+G44)*L3_Minute)+(H44*User_Minute)+I44,2)</f>
        <v>1795.97</v>
      </c>
    </row>
    <row r="45" spans="2:11" s="65" customFormat="1" ht="15" customHeight="1">
      <c r="B45" s="293" t="s">
        <v>61</v>
      </c>
      <c r="C45" s="293"/>
      <c r="D45" s="293"/>
      <c r="E45" s="293"/>
      <c r="F45" s="293"/>
      <c r="G45" s="293"/>
      <c r="H45" s="293"/>
      <c r="I45" s="293"/>
      <c r="J45" s="293"/>
      <c r="K45" s="70">
        <v>2</v>
      </c>
    </row>
    <row r="46" spans="2:11" s="65" customFormat="1" ht="15" customHeight="1">
      <c r="B46" s="164" t="s">
        <v>2</v>
      </c>
      <c r="C46" s="165">
        <v>0</v>
      </c>
      <c r="D46" s="166">
        <v>240</v>
      </c>
      <c r="E46" s="166">
        <v>0</v>
      </c>
      <c r="F46" s="166">
        <v>0</v>
      </c>
      <c r="G46" s="166">
        <v>0</v>
      </c>
      <c r="H46" s="166">
        <v>0</v>
      </c>
      <c r="I46" s="168">
        <v>0</v>
      </c>
      <c r="J46" s="167">
        <f>ROUND((C46*L1_Minute)+((D46+(F46*ClientConfigsPatched))*L2_Minute)+((E46+G46)*L3_Minute)+(H46*User_Minute)+I46,2)</f>
        <v>224.5</v>
      </c>
      <c r="K46" s="169"/>
    </row>
    <row r="47" spans="2:11" s="65" customFormat="1" ht="24">
      <c r="B47" s="164" t="s">
        <v>1</v>
      </c>
      <c r="C47" s="166">
        <v>0</v>
      </c>
      <c r="D47" s="166">
        <v>240</v>
      </c>
      <c r="E47" s="166">
        <v>0</v>
      </c>
      <c r="F47" s="166">
        <v>0</v>
      </c>
      <c r="G47" s="166">
        <v>0</v>
      </c>
      <c r="H47" s="166">
        <v>0</v>
      </c>
      <c r="I47" s="168">
        <v>0</v>
      </c>
      <c r="J47" s="167">
        <f>ROUND((C47*L1_Minute)+((D47+(F47*ClientConfigsPatched))*L2_Minute)+((E47+G47)*L3_Minute)+(H47*User_Minute)+I47,2)</f>
        <v>224.5</v>
      </c>
      <c r="K47" s="169"/>
    </row>
    <row r="48" spans="2:11" s="65" customFormat="1" ht="15" customHeight="1">
      <c r="B48" s="294" t="s">
        <v>244</v>
      </c>
      <c r="C48" s="295"/>
      <c r="D48" s="295"/>
      <c r="E48" s="295"/>
      <c r="F48" s="295"/>
      <c r="G48" s="295"/>
      <c r="H48" s="295"/>
      <c r="I48" s="295"/>
      <c r="J48" s="296"/>
      <c r="K48" s="70">
        <v>3</v>
      </c>
    </row>
    <row r="49" spans="2:11" s="65" customFormat="1" ht="15" customHeight="1">
      <c r="B49" s="164" t="s">
        <v>2</v>
      </c>
      <c r="C49" s="165">
        <v>0</v>
      </c>
      <c r="D49" s="166">
        <v>0</v>
      </c>
      <c r="E49" s="166">
        <v>0</v>
      </c>
      <c r="F49" s="166">
        <v>0</v>
      </c>
      <c r="G49" s="166">
        <v>0</v>
      </c>
      <c r="H49" s="166">
        <v>10</v>
      </c>
      <c r="I49" s="168">
        <v>0</v>
      </c>
      <c r="J49" s="167">
        <f>ROUND((C49*L1_Minute)+((D49+(F49*ClientConfigsPatched))*L2_Minute)+((E49+G49)*L3_Minute)+(H49*User_Minute)+I49,2)</f>
        <v>6.8</v>
      </c>
      <c r="K49" s="169"/>
    </row>
    <row r="50" spans="2:11" s="65" customFormat="1" ht="24">
      <c r="B50" s="164" t="s">
        <v>1</v>
      </c>
      <c r="C50" s="166">
        <v>0</v>
      </c>
      <c r="D50" s="166">
        <v>0</v>
      </c>
      <c r="E50" s="166">
        <v>0</v>
      </c>
      <c r="F50" s="166">
        <v>0</v>
      </c>
      <c r="G50" s="166">
        <v>0</v>
      </c>
      <c r="H50" s="166">
        <v>10</v>
      </c>
      <c r="I50" s="168">
        <v>0</v>
      </c>
      <c r="J50" s="167">
        <f>ROUND((C50*L1_Minute)+((D50+(F50*ClientConfigsPatched))*L2_Minute)+((E50+G50)*L3_Minute)+(H50*User_Minute)+I50,2)</f>
        <v>6.8</v>
      </c>
      <c r="K50" s="169"/>
    </row>
    <row r="51" spans="2:11" s="65" customFormat="1" ht="15" customHeight="1">
      <c r="B51" s="292" t="s">
        <v>245</v>
      </c>
      <c r="C51" s="292"/>
      <c r="D51" s="292"/>
      <c r="E51" s="292"/>
      <c r="F51" s="292"/>
      <c r="G51" s="292"/>
      <c r="H51" s="292"/>
      <c r="I51" s="292"/>
      <c r="J51" s="292"/>
      <c r="K51" s="70">
        <v>4</v>
      </c>
    </row>
    <row r="52" spans="2:10" s="65" customFormat="1" ht="15" customHeight="1">
      <c r="B52" s="164" t="s">
        <v>2</v>
      </c>
      <c r="C52" s="165">
        <v>0</v>
      </c>
      <c r="D52" s="166">
        <v>0</v>
      </c>
      <c r="E52" s="166">
        <v>0</v>
      </c>
      <c r="F52" s="166">
        <v>0</v>
      </c>
      <c r="G52" s="166">
        <v>20</v>
      </c>
      <c r="H52" s="166">
        <v>45</v>
      </c>
      <c r="I52" s="168">
        <v>0</v>
      </c>
      <c r="J52" s="167">
        <f>ROUND((C52*L1_Minute)+((D52+(F52*ClientConfigsPatched))*L2_Minute)+((E52+G52)*L3_Minute)+(H52*User_Minute)+I52,2)</f>
        <v>55.26</v>
      </c>
    </row>
    <row r="53" spans="2:11" s="65" customFormat="1" ht="24">
      <c r="B53" s="164" t="s">
        <v>1</v>
      </c>
      <c r="C53" s="166">
        <v>0</v>
      </c>
      <c r="D53" s="166">
        <v>0</v>
      </c>
      <c r="E53" s="166">
        <v>0</v>
      </c>
      <c r="F53" s="166">
        <v>0</v>
      </c>
      <c r="G53" s="166">
        <v>20</v>
      </c>
      <c r="H53" s="166">
        <v>45</v>
      </c>
      <c r="I53" s="168">
        <v>0</v>
      </c>
      <c r="J53" s="167">
        <f>ROUND((C53*L1_Minute)+((D53+(F53*ClientConfigsPatched))*L2_Minute)+((E53+G53)*L3_Minute)+(H53*User_Minute)+I53,2)</f>
        <v>55.26</v>
      </c>
      <c r="K53" s="169"/>
    </row>
    <row r="54" spans="2:11" s="65" customFormat="1" ht="15" customHeight="1">
      <c r="B54" s="292" t="s">
        <v>246</v>
      </c>
      <c r="C54" s="292"/>
      <c r="D54" s="292"/>
      <c r="E54" s="292"/>
      <c r="F54" s="292"/>
      <c r="G54" s="292"/>
      <c r="H54" s="292"/>
      <c r="I54" s="292"/>
      <c r="J54" s="292"/>
      <c r="K54" s="70">
        <v>5</v>
      </c>
    </row>
    <row r="55" spans="2:11" s="65" customFormat="1" ht="15" customHeight="1">
      <c r="B55" s="164" t="s">
        <v>2</v>
      </c>
      <c r="C55" s="165">
        <v>0</v>
      </c>
      <c r="D55" s="166">
        <v>0</v>
      </c>
      <c r="E55" s="166">
        <v>60</v>
      </c>
      <c r="F55" s="166">
        <v>0</v>
      </c>
      <c r="G55" s="166">
        <v>30</v>
      </c>
      <c r="H55" s="166">
        <v>45</v>
      </c>
      <c r="I55" s="168">
        <v>0</v>
      </c>
      <c r="J55" s="167">
        <f>ROUND((C55*L1_Minute)+((D55+(F55*ClientConfigsPatched))*L2_Minute)+((E55+G55)*L3_Minute)+(H55*User_Minute)+I55,2)</f>
        <v>141.57</v>
      </c>
      <c r="K55" s="170"/>
    </row>
    <row r="56" spans="2:11" s="65" customFormat="1" ht="24">
      <c r="B56" s="164" t="s">
        <v>1</v>
      </c>
      <c r="C56" s="166">
        <v>0</v>
      </c>
      <c r="D56" s="166">
        <v>0</v>
      </c>
      <c r="E56" s="166">
        <v>60</v>
      </c>
      <c r="F56" s="166">
        <v>0</v>
      </c>
      <c r="G56" s="166">
        <v>30</v>
      </c>
      <c r="H56" s="166">
        <v>45</v>
      </c>
      <c r="I56" s="168">
        <v>0</v>
      </c>
      <c r="J56" s="167">
        <f>ROUND((C56*L1_Minute)+((D56+(F56*ClientConfigsPatched))*L2_Minute)+((E56+G56)*L3_Minute)+(H56*User_Minute)+I56,2)</f>
        <v>141.57</v>
      </c>
      <c r="K56" s="169"/>
    </row>
    <row r="57" spans="2:11" s="65" customFormat="1" ht="15" customHeight="1">
      <c r="B57" s="292" t="s">
        <v>145</v>
      </c>
      <c r="C57" s="292"/>
      <c r="D57" s="292"/>
      <c r="E57" s="292"/>
      <c r="F57" s="292"/>
      <c r="G57" s="292"/>
      <c r="H57" s="292"/>
      <c r="I57" s="292"/>
      <c r="J57" s="292"/>
      <c r="K57" s="70">
        <v>6</v>
      </c>
    </row>
    <row r="58" spans="2:10" s="65" customFormat="1" ht="15" customHeight="1">
      <c r="B58" s="164" t="s">
        <v>2</v>
      </c>
      <c r="C58" s="165">
        <v>0</v>
      </c>
      <c r="D58" s="166">
        <v>0</v>
      </c>
      <c r="E58" s="166">
        <v>30</v>
      </c>
      <c r="F58" s="166">
        <v>0</v>
      </c>
      <c r="G58" s="166">
        <v>10</v>
      </c>
      <c r="H58" s="166">
        <v>0</v>
      </c>
      <c r="I58" s="168">
        <v>0</v>
      </c>
      <c r="J58" s="167">
        <f>ROUND((C58*L1_Minute)+((D58+(F58*ClientConfigsPatched))*L2_Minute)+((E58+G58)*L3_Minute)+(H58*User_Minute)+I58,2)</f>
        <v>49.32</v>
      </c>
    </row>
    <row r="59" spans="2:10" s="65" customFormat="1" ht="24">
      <c r="B59" s="159" t="s">
        <v>1</v>
      </c>
      <c r="C59" s="166">
        <v>0</v>
      </c>
      <c r="D59" s="166">
        <v>0</v>
      </c>
      <c r="E59" s="166">
        <v>30</v>
      </c>
      <c r="F59" s="166">
        <v>0</v>
      </c>
      <c r="G59" s="166">
        <v>10</v>
      </c>
      <c r="H59" s="166">
        <v>0</v>
      </c>
      <c r="I59" s="168">
        <v>0</v>
      </c>
      <c r="J59" s="167">
        <f>ROUND((C59*L1_Minute)+((D59+(F59*ClientConfigsPatched))*L2_Minute)+((E59+G59)*L3_Minute)+(H59*User_Minute)+I59,2)</f>
        <v>49.32</v>
      </c>
    </row>
    <row r="60" spans="1:10" s="172" customFormat="1" ht="15">
      <c r="A60" s="171"/>
      <c r="B60" s="134"/>
      <c r="C60" s="127"/>
      <c r="D60" s="127"/>
      <c r="E60" s="127"/>
      <c r="F60" s="127"/>
      <c r="G60" s="134"/>
      <c r="H60" s="127"/>
      <c r="I60" s="127"/>
      <c r="J60" s="127"/>
    </row>
    <row r="61" spans="2:10" ht="15" customHeight="1">
      <c r="B61" s="281" t="s">
        <v>251</v>
      </c>
      <c r="C61" s="282"/>
      <c r="D61" s="282"/>
      <c r="E61" s="282"/>
      <c r="F61" s="282"/>
      <c r="G61" s="282"/>
      <c r="H61" s="282"/>
      <c r="I61" s="282"/>
      <c r="J61" s="65"/>
    </row>
    <row r="62" spans="2:11" ht="65.25" customHeight="1">
      <c r="B62" s="144"/>
      <c r="C62" s="163" t="s">
        <v>89</v>
      </c>
      <c r="D62" s="163" t="s">
        <v>90</v>
      </c>
      <c r="E62" s="163" t="s">
        <v>162</v>
      </c>
      <c r="F62" s="163" t="s">
        <v>103</v>
      </c>
      <c r="G62" s="163" t="s">
        <v>249</v>
      </c>
      <c r="H62" s="163" t="s">
        <v>250</v>
      </c>
      <c r="I62" s="163" t="s">
        <v>31</v>
      </c>
      <c r="J62" s="65"/>
      <c r="K62" s="127"/>
    </row>
    <row r="63" spans="2:11" s="65" customFormat="1" ht="15" customHeight="1">
      <c r="B63" s="164" t="s">
        <v>247</v>
      </c>
      <c r="C63" s="166">
        <v>0</v>
      </c>
      <c r="D63" s="166">
        <v>840</v>
      </c>
      <c r="E63" s="166">
        <v>0</v>
      </c>
      <c r="F63" s="166">
        <v>240</v>
      </c>
      <c r="G63" s="166">
        <v>0</v>
      </c>
      <c r="H63" s="166">
        <v>0</v>
      </c>
      <c r="I63" s="167">
        <f>ROUND((C63*L1_Minute)+((D63+(F63*ServerConfigsPatched))*L2_Minute)+((E63+G63)*L3_Minute)+(H63*User_Minute),2)</f>
        <v>1863.32</v>
      </c>
      <c r="J63" s="70">
        <v>1</v>
      </c>
      <c r="K63" s="67"/>
    </row>
    <row r="64" spans="2:11" s="65" customFormat="1" ht="24" customHeight="1">
      <c r="B64" s="173" t="s">
        <v>61</v>
      </c>
      <c r="C64" s="174">
        <v>0</v>
      </c>
      <c r="D64" s="174">
        <v>240</v>
      </c>
      <c r="E64" s="174">
        <v>0</v>
      </c>
      <c r="F64" s="174">
        <v>0</v>
      </c>
      <c r="G64" s="174">
        <v>0</v>
      </c>
      <c r="H64" s="174">
        <v>0</v>
      </c>
      <c r="I64" s="175">
        <f>ROUND((C64*L1_Minute)+((D64+(F64*ServerConfigsPatched))*L2_Minute)+((E64+G64)*L3_Minute)+(H64*User_Minute),2)</f>
        <v>224.5</v>
      </c>
      <c r="J64" s="70">
        <v>2</v>
      </c>
      <c r="K64" s="67"/>
    </row>
    <row r="65" spans="2:11" s="65" customFormat="1" ht="15" customHeight="1">
      <c r="B65" s="303" t="s">
        <v>248</v>
      </c>
      <c r="C65" s="303"/>
      <c r="D65" s="303"/>
      <c r="E65" s="303"/>
      <c r="F65" s="303"/>
      <c r="G65" s="303"/>
      <c r="H65" s="303"/>
      <c r="I65" s="303"/>
      <c r="J65" s="70">
        <v>3</v>
      </c>
      <c r="K65" s="67"/>
    </row>
    <row r="66" spans="2:11" s="65" customFormat="1" ht="15" customHeight="1">
      <c r="B66" s="176" t="s">
        <v>2</v>
      </c>
      <c r="C66" s="177">
        <v>0</v>
      </c>
      <c r="D66" s="178">
        <v>0</v>
      </c>
      <c r="E66" s="178">
        <v>0</v>
      </c>
      <c r="F66" s="178">
        <v>0</v>
      </c>
      <c r="G66" s="178">
        <v>20</v>
      </c>
      <c r="H66" s="178">
        <v>1</v>
      </c>
      <c r="I66" s="179">
        <f>ROUND((C66*L1_Minute)+((D66+(F66*ServerConfigsPatched))*L2_Minute)+((E66+G66)*L3_Minute)+(H66*User_Minute*C24),2)</f>
        <v>133.46</v>
      </c>
      <c r="K66" s="180"/>
    </row>
    <row r="67" spans="2:11" s="65" customFormat="1" ht="22.5" customHeight="1">
      <c r="B67" s="159" t="s">
        <v>1</v>
      </c>
      <c r="C67" s="166">
        <v>0</v>
      </c>
      <c r="D67" s="166">
        <v>0</v>
      </c>
      <c r="E67" s="166">
        <v>0</v>
      </c>
      <c r="F67" s="166">
        <v>0</v>
      </c>
      <c r="G67" s="166">
        <v>20</v>
      </c>
      <c r="H67" s="166">
        <v>10</v>
      </c>
      <c r="I67" s="167">
        <f>ROUND((C67*L1_Minute)+((D67+(F67*ServerConfigsPatched))*L2_Minute)+((E67+G67)*L3_Minute)+(H67*User_Minute*D24),2)</f>
        <v>1085.46</v>
      </c>
      <c r="K67" s="180"/>
    </row>
    <row r="68" ht="15" customHeight="1"/>
    <row r="69" spans="2:9" ht="15" customHeight="1">
      <c r="B69" s="307" t="s">
        <v>109</v>
      </c>
      <c r="C69" s="308"/>
      <c r="D69" s="308"/>
      <c r="E69" s="308"/>
      <c r="F69" s="308"/>
      <c r="H69" s="134"/>
      <c r="I69" s="65"/>
    </row>
    <row r="70" spans="2:11" s="141" customFormat="1" ht="15" customHeight="1">
      <c r="B70" s="181"/>
      <c r="C70" s="304" t="s">
        <v>110</v>
      </c>
      <c r="D70" s="306"/>
      <c r="E70" s="304" t="s">
        <v>111</v>
      </c>
      <c r="F70" s="306"/>
      <c r="G70" s="182"/>
      <c r="H70" s="183"/>
      <c r="I70" s="137"/>
      <c r="K70" s="137"/>
    </row>
    <row r="71" spans="2:6" s="92" customFormat="1" ht="39" customHeight="1">
      <c r="B71" s="155"/>
      <c r="C71" s="106" t="s">
        <v>129</v>
      </c>
      <c r="D71" s="155" t="s">
        <v>1</v>
      </c>
      <c r="E71" s="106" t="s">
        <v>129</v>
      </c>
      <c r="F71" s="155" t="s">
        <v>1</v>
      </c>
    </row>
    <row r="72" spans="2:8" s="137" customFormat="1" ht="15" customHeight="1">
      <c r="B72" s="164" t="s">
        <v>11</v>
      </c>
      <c r="C72" s="184">
        <f>J43</f>
        <v>1795.97</v>
      </c>
      <c r="D72" s="184">
        <f>J44</f>
        <v>1795.97</v>
      </c>
      <c r="E72" s="184">
        <f>I63</f>
        <v>1863.32</v>
      </c>
      <c r="F72" s="184">
        <f>I63</f>
        <v>1863.32</v>
      </c>
      <c r="G72" s="70">
        <v>1</v>
      </c>
      <c r="H72" s="67"/>
    </row>
    <row r="73" spans="2:8" s="137" customFormat="1" ht="15" customHeight="1">
      <c r="B73" s="164" t="s">
        <v>7</v>
      </c>
      <c r="C73" s="184">
        <f>J46</f>
        <v>224.5</v>
      </c>
      <c r="D73" s="184">
        <f>J47</f>
        <v>224.5</v>
      </c>
      <c r="E73" s="184">
        <f>I64</f>
        <v>224.5</v>
      </c>
      <c r="F73" s="184">
        <f>I64</f>
        <v>224.5</v>
      </c>
      <c r="G73" s="70">
        <v>2</v>
      </c>
      <c r="H73" s="67"/>
    </row>
    <row r="74" spans="2:8" s="137" customFormat="1" ht="24">
      <c r="B74" s="185" t="s">
        <v>16</v>
      </c>
      <c r="C74" s="184">
        <f>ROUND(J49*E29,2)</f>
        <v>195.84</v>
      </c>
      <c r="D74" s="184">
        <f>ROUND(J50*F29,2)</f>
        <v>130.56</v>
      </c>
      <c r="E74" s="186" t="s">
        <v>243</v>
      </c>
      <c r="F74" s="186" t="s">
        <v>243</v>
      </c>
      <c r="G74" s="70">
        <v>3</v>
      </c>
      <c r="H74" s="67"/>
    </row>
    <row r="75" spans="2:6" s="137" customFormat="1" ht="24">
      <c r="B75" s="185" t="s">
        <v>10</v>
      </c>
      <c r="C75" s="184">
        <f>ROUND(J52*E30,2)</f>
        <v>0</v>
      </c>
      <c r="D75" s="184">
        <f>ROUND(J53*F30,2)</f>
        <v>0</v>
      </c>
      <c r="E75" s="186" t="s">
        <v>243</v>
      </c>
      <c r="F75" s="186" t="s">
        <v>243</v>
      </c>
    </row>
    <row r="76" spans="2:6" s="137" customFormat="1" ht="24">
      <c r="B76" s="185" t="s">
        <v>122</v>
      </c>
      <c r="C76" s="184">
        <f>ROUND(J55*E31,2)</f>
        <v>0</v>
      </c>
      <c r="D76" s="184">
        <f>ROUND(J56*F31,2)</f>
        <v>0</v>
      </c>
      <c r="E76" s="186" t="s">
        <v>243</v>
      </c>
      <c r="F76" s="186" t="s">
        <v>243</v>
      </c>
    </row>
    <row r="77" spans="2:8" s="137" customFormat="1" ht="24">
      <c r="B77" s="185" t="s">
        <v>123</v>
      </c>
      <c r="C77" s="184">
        <f>ROUND(J58*E32,2)</f>
        <v>5681.66</v>
      </c>
      <c r="D77" s="184">
        <f>ROUND(J59*F32,2)</f>
        <v>3787.78</v>
      </c>
      <c r="E77" s="186" t="s">
        <v>243</v>
      </c>
      <c r="F77" s="186" t="s">
        <v>243</v>
      </c>
      <c r="H77" s="67"/>
    </row>
    <row r="78" spans="2:6" s="137" customFormat="1" ht="24.75" customHeight="1">
      <c r="B78" s="185" t="s">
        <v>248</v>
      </c>
      <c r="C78" s="186" t="s">
        <v>243</v>
      </c>
      <c r="D78" s="186" t="s">
        <v>243</v>
      </c>
      <c r="E78" s="184">
        <f>I66</f>
        <v>133.46</v>
      </c>
      <c r="F78" s="184">
        <f>I67</f>
        <v>1085.46</v>
      </c>
    </row>
    <row r="79" spans="2:6" s="137" customFormat="1" ht="24">
      <c r="B79" s="106" t="s">
        <v>106</v>
      </c>
      <c r="C79" s="184">
        <f>SUM(C72:C78)</f>
        <v>7897.969999999999</v>
      </c>
      <c r="D79" s="184">
        <f>SUM(D72:D78)</f>
        <v>5938.81</v>
      </c>
      <c r="E79" s="184">
        <f>SUM(E72:E78)</f>
        <v>2221.2799999999997</v>
      </c>
      <c r="F79" s="184">
        <f>SUM(F72:F78)</f>
        <v>3173.2799999999997</v>
      </c>
    </row>
    <row r="80" ht="15" customHeight="1">
      <c r="K80" s="127"/>
    </row>
    <row r="81" spans="2:11" ht="15" customHeight="1">
      <c r="B81" s="307" t="s">
        <v>252</v>
      </c>
      <c r="C81" s="308"/>
      <c r="D81" s="308"/>
      <c r="E81" s="308"/>
      <c r="F81" s="308"/>
      <c r="G81" s="92"/>
      <c r="H81" s="92"/>
      <c r="K81" s="127"/>
    </row>
    <row r="82" spans="2:9" s="141" customFormat="1" ht="15" customHeight="1">
      <c r="B82" s="187"/>
      <c r="C82" s="304" t="s">
        <v>118</v>
      </c>
      <c r="D82" s="305"/>
      <c r="E82" s="304" t="str">
        <f>"Annual cost for all "&amp;TEXT(NumClients,"0,000")&amp;" clients"</f>
        <v>Annual cost for all 8,000 clients</v>
      </c>
      <c r="F82" s="306"/>
      <c r="G82" s="183"/>
      <c r="H82" s="183"/>
      <c r="I82" s="137"/>
    </row>
    <row r="83" spans="2:8" s="92" customFormat="1" ht="39" customHeight="1">
      <c r="B83" s="188"/>
      <c r="C83" s="106" t="s">
        <v>129</v>
      </c>
      <c r="D83" s="90" t="s">
        <v>1</v>
      </c>
      <c r="E83" s="106" t="s">
        <v>129</v>
      </c>
      <c r="F83" s="90" t="s">
        <v>1</v>
      </c>
      <c r="H83" s="133"/>
    </row>
    <row r="84" spans="2:8" s="191" customFormat="1" ht="15" customHeight="1">
      <c r="B84" s="189" t="s">
        <v>11</v>
      </c>
      <c r="C84" s="190">
        <f aca="true" t="shared" si="1" ref="C84:C90">ROUND(E84/NumClients,2)</f>
        <v>6.4</v>
      </c>
      <c r="D84" s="190">
        <f aca="true" t="shared" si="2" ref="D84:D90">ROUND(F84/NumClients,2)</f>
        <v>6.4</v>
      </c>
      <c r="E84" s="190">
        <f>ROUND((C72+E72)*NumRollouts,2)</f>
        <v>51230.06</v>
      </c>
      <c r="F84" s="190">
        <f>ROUND((D72+F72)*NumRollouts,2)</f>
        <v>51230.06</v>
      </c>
      <c r="G84" s="70">
        <v>1</v>
      </c>
      <c r="H84" s="67"/>
    </row>
    <row r="85" spans="2:6" s="191" customFormat="1" ht="15" customHeight="1">
      <c r="B85" s="189" t="s">
        <v>7</v>
      </c>
      <c r="C85" s="190">
        <f t="shared" si="1"/>
        <v>0.79</v>
      </c>
      <c r="D85" s="190">
        <f t="shared" si="2"/>
        <v>0.79</v>
      </c>
      <c r="E85" s="190">
        <f>ROUND((C73+E73)*NumRollouts,2)</f>
        <v>6286</v>
      </c>
      <c r="F85" s="190">
        <f>ROUND((D73+F73)*NumRollouts,2)</f>
        <v>6286</v>
      </c>
    </row>
    <row r="86" spans="2:6" s="191" customFormat="1" ht="24">
      <c r="B86" s="192" t="s">
        <v>16</v>
      </c>
      <c r="C86" s="190">
        <f t="shared" si="1"/>
        <v>0.34</v>
      </c>
      <c r="D86" s="190">
        <f t="shared" si="2"/>
        <v>0.23</v>
      </c>
      <c r="E86" s="190">
        <f aca="true" t="shared" si="3" ref="E86:F89">ROUND((C74)*NumRollouts,2)</f>
        <v>2741.76</v>
      </c>
      <c r="F86" s="190">
        <f t="shared" si="3"/>
        <v>1827.84</v>
      </c>
    </row>
    <row r="87" spans="2:6" s="191" customFormat="1" ht="24">
      <c r="B87" s="189" t="s">
        <v>10</v>
      </c>
      <c r="C87" s="190">
        <f t="shared" si="1"/>
        <v>0</v>
      </c>
      <c r="D87" s="190">
        <f t="shared" si="2"/>
        <v>0</v>
      </c>
      <c r="E87" s="190">
        <f t="shared" si="3"/>
        <v>0</v>
      </c>
      <c r="F87" s="190">
        <f t="shared" si="3"/>
        <v>0</v>
      </c>
    </row>
    <row r="88" spans="2:6" s="191" customFormat="1" ht="24">
      <c r="B88" s="189" t="s">
        <v>122</v>
      </c>
      <c r="C88" s="190">
        <f t="shared" si="1"/>
        <v>0</v>
      </c>
      <c r="D88" s="190">
        <f t="shared" si="2"/>
        <v>0</v>
      </c>
      <c r="E88" s="190">
        <f t="shared" si="3"/>
        <v>0</v>
      </c>
      <c r="F88" s="190">
        <f t="shared" si="3"/>
        <v>0</v>
      </c>
    </row>
    <row r="89" spans="2:6" s="191" customFormat="1" ht="24">
      <c r="B89" s="192" t="s">
        <v>123</v>
      </c>
      <c r="C89" s="190">
        <f t="shared" si="1"/>
        <v>9.94</v>
      </c>
      <c r="D89" s="190">
        <f t="shared" si="2"/>
        <v>6.63</v>
      </c>
      <c r="E89" s="190">
        <f t="shared" si="3"/>
        <v>79543.24</v>
      </c>
      <c r="F89" s="190">
        <f t="shared" si="3"/>
        <v>53028.92</v>
      </c>
    </row>
    <row r="90" spans="2:6" s="191" customFormat="1" ht="24">
      <c r="B90" s="159" t="s">
        <v>304</v>
      </c>
      <c r="C90" s="190">
        <f t="shared" si="1"/>
        <v>0.23</v>
      </c>
      <c r="D90" s="190">
        <f t="shared" si="2"/>
        <v>1.9</v>
      </c>
      <c r="E90" s="190">
        <f>ROUND((E78)*NumRollouts*E38,2)</f>
        <v>1868.44</v>
      </c>
      <c r="F90" s="190">
        <f>ROUND((F78)*NumRollouts*F38,2)</f>
        <v>15196.44</v>
      </c>
    </row>
    <row r="91" spans="2:6" s="191" customFormat="1" ht="15" customHeight="1">
      <c r="B91" s="193" t="s">
        <v>107</v>
      </c>
      <c r="C91" s="190">
        <f>SUM(C84:C90)</f>
        <v>17.7</v>
      </c>
      <c r="D91" s="190">
        <f>SUM(D84:D90)</f>
        <v>15.950000000000001</v>
      </c>
      <c r="E91" s="190">
        <f>ROUND((C79+E79)*NumRollouts,2)</f>
        <v>141669.5</v>
      </c>
      <c r="F91" s="190">
        <f>ROUND((D79+F79)*NumRollouts,2)</f>
        <v>127569.26</v>
      </c>
    </row>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spans="2:10" ht="15" customHeight="1">
      <c r="B102" s="302"/>
      <c r="C102" s="302"/>
      <c r="D102" s="302"/>
      <c r="E102" s="302"/>
      <c r="F102" s="302"/>
      <c r="G102" s="302"/>
      <c r="H102" s="302"/>
      <c r="I102" s="302"/>
      <c r="J102" s="65"/>
    </row>
    <row r="103" spans="2:9" ht="15" customHeight="1">
      <c r="B103" s="137"/>
      <c r="C103" s="65"/>
      <c r="D103" s="65"/>
      <c r="E103" s="65"/>
      <c r="F103" s="65"/>
      <c r="G103" s="136"/>
      <c r="H103" s="65"/>
      <c r="I103" s="65"/>
    </row>
    <row r="104" ht="15" customHeight="1">
      <c r="B104" s="137"/>
    </row>
    <row r="105" spans="2:7" ht="15" customHeight="1">
      <c r="B105" s="65"/>
      <c r="C105" s="134"/>
      <c r="G105" s="127"/>
    </row>
    <row r="106" spans="2:7" ht="15" customHeight="1">
      <c r="B106" s="194"/>
      <c r="C106" s="134"/>
      <c r="G106" s="127"/>
    </row>
    <row r="107" spans="2:9" ht="27.75" customHeight="1">
      <c r="B107" s="301"/>
      <c r="C107" s="301"/>
      <c r="D107" s="301"/>
      <c r="E107" s="301"/>
      <c r="F107" s="301"/>
      <c r="G107" s="301"/>
      <c r="H107" s="301"/>
      <c r="I107" s="301"/>
    </row>
    <row r="108" spans="2:7" ht="15" customHeight="1">
      <c r="B108" s="127"/>
      <c r="C108" s="134"/>
      <c r="G108" s="127"/>
    </row>
    <row r="109" spans="2:7" ht="15" customHeight="1">
      <c r="B109" s="127"/>
      <c r="C109" s="134"/>
      <c r="G109" s="127"/>
    </row>
    <row r="110" spans="2:7" ht="15" customHeight="1">
      <c r="B110" s="127"/>
      <c r="C110" s="134"/>
      <c r="G110" s="127"/>
    </row>
    <row r="111" spans="2:7" ht="15" customHeight="1">
      <c r="B111" s="127"/>
      <c r="C111" s="134"/>
      <c r="G111" s="127"/>
    </row>
    <row r="112" spans="2:7" ht="15" customHeight="1">
      <c r="B112" s="127"/>
      <c r="C112" s="134"/>
      <c r="G112" s="127"/>
    </row>
    <row r="113" spans="2:7" ht="15" customHeight="1">
      <c r="B113" s="127"/>
      <c r="C113" s="134"/>
      <c r="G113" s="127"/>
    </row>
    <row r="114" spans="2:7" ht="15" customHeight="1">
      <c r="B114" s="127"/>
      <c r="C114" s="134"/>
      <c r="G114" s="127"/>
    </row>
    <row r="115" spans="2:7" ht="15" customHeight="1">
      <c r="B115" s="127"/>
      <c r="C115" s="134"/>
      <c r="G115" s="127"/>
    </row>
    <row r="116" spans="2:7" ht="15" customHeight="1">
      <c r="B116" s="127"/>
      <c r="C116" s="134"/>
      <c r="G116" s="127"/>
    </row>
    <row r="117" spans="2:7" ht="15" customHeight="1">
      <c r="B117" s="127"/>
      <c r="C117" s="134"/>
      <c r="G117" s="127"/>
    </row>
    <row r="118" spans="2:7" ht="15" customHeight="1">
      <c r="B118" s="127"/>
      <c r="C118" s="134"/>
      <c r="G118" s="127"/>
    </row>
    <row r="119" spans="2:7" ht="15" customHeight="1">
      <c r="B119" s="127"/>
      <c r="C119" s="134"/>
      <c r="G119" s="127"/>
    </row>
    <row r="120" spans="2:7" ht="15" customHeight="1">
      <c r="B120" s="127"/>
      <c r="C120" s="134"/>
      <c r="G120" s="127"/>
    </row>
    <row r="121" spans="2:7" ht="15" customHeight="1">
      <c r="B121" s="127"/>
      <c r="C121" s="134"/>
      <c r="G121" s="127"/>
    </row>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sheetData>
  <sheetProtection sheet="1" objects="1" scenarios="1"/>
  <mergeCells count="31">
    <mergeCell ref="B40:J40"/>
    <mergeCell ref="B81:F81"/>
    <mergeCell ref="C70:D70"/>
    <mergeCell ref="B51:J51"/>
    <mergeCell ref="E4:H4"/>
    <mergeCell ref="E35:F35"/>
    <mergeCell ref="E6:H6"/>
    <mergeCell ref="B9:D9"/>
    <mergeCell ref="B17:D17"/>
    <mergeCell ref="B34:F34"/>
    <mergeCell ref="B26:F26"/>
    <mergeCell ref="E5:H5"/>
    <mergeCell ref="E27:F27"/>
    <mergeCell ref="B107:I107"/>
    <mergeCell ref="B102:I102"/>
    <mergeCell ref="B65:I65"/>
    <mergeCell ref="B61:I61"/>
    <mergeCell ref="C82:D82"/>
    <mergeCell ref="E82:F82"/>
    <mergeCell ref="E70:F70"/>
    <mergeCell ref="B69:F69"/>
    <mergeCell ref="B1:J1"/>
    <mergeCell ref="B57:J57"/>
    <mergeCell ref="B45:J45"/>
    <mergeCell ref="B42:J42"/>
    <mergeCell ref="B48:J48"/>
    <mergeCell ref="C35:D35"/>
    <mergeCell ref="B3:C3"/>
    <mergeCell ref="C27:D27"/>
    <mergeCell ref="E3:I3"/>
    <mergeCell ref="B54:J54"/>
  </mergeCells>
  <hyperlinks>
    <hyperlink ref="I6" location="Questionnaire!A1" display="Questionnaire"/>
    <hyperlink ref="I5" location="Summary!A1" display="Summary"/>
  </hyperlinks>
  <printOptions/>
  <pageMargins left="0.3" right="0.3" top="0.3" bottom="0.3" header="0" footer="0"/>
  <pageSetup fitToHeight="9" horizontalDpi="600" verticalDpi="600" orientation="landscape" scale="93" r:id="rId4"/>
  <rowBreaks count="5" manualBreakCount="5">
    <brk id="25" max="255" man="1"/>
    <brk id="39" max="255" man="1"/>
    <brk id="68" max="255" man="1"/>
    <brk id="92" max="255" man="1"/>
    <brk id="132" max="255" man="1"/>
  </rowBreaks>
  <drawing r:id="rId3"/>
  <legacyDrawing r:id="rId2"/>
</worksheet>
</file>

<file path=xl/worksheets/sheet5.xml><?xml version="1.0" encoding="utf-8"?>
<worksheet xmlns="http://schemas.openxmlformats.org/spreadsheetml/2006/main" xmlns:r="http://schemas.openxmlformats.org/officeDocument/2006/relationships">
  <sheetPr codeName="Sheet5">
    <tabColor theme="3"/>
    <pageSetUpPr fitToPage="1"/>
  </sheetPr>
  <dimension ref="A1:K33"/>
  <sheetViews>
    <sheetView zoomScalePageLayoutView="0" workbookViewId="0" topLeftCell="A1">
      <pane ySplit="7" topLeftCell="BM8" activePane="bottomLeft" state="frozen"/>
      <selection pane="topLeft" activeCell="A1" sqref="A1"/>
      <selection pane="bottomLeft" activeCell="A1" sqref="A1"/>
    </sheetView>
  </sheetViews>
  <sheetFormatPr defaultColWidth="9.140625" defaultRowHeight="15" customHeight="1"/>
  <cols>
    <col min="1" max="1" width="1.7109375" style="127" customWidth="1"/>
    <col min="2" max="2" width="38.7109375" style="127" customWidth="1"/>
    <col min="3" max="6" width="12.00390625" style="127" customWidth="1"/>
    <col min="7" max="7" width="11.28125" style="127" customWidth="1"/>
    <col min="8" max="9" width="12.00390625" style="127" customWidth="1"/>
    <col min="10" max="10" width="6.140625" style="127" customWidth="1"/>
    <col min="11" max="16384" width="9.140625" style="127" customWidth="1"/>
  </cols>
  <sheetData>
    <row r="1" spans="1:9" ht="27.75" customHeight="1">
      <c r="A1" s="62"/>
      <c r="B1" s="287" t="s">
        <v>86</v>
      </c>
      <c r="C1" s="287"/>
      <c r="D1" s="287"/>
      <c r="E1" s="287"/>
      <c r="F1" s="287"/>
      <c r="G1" s="287"/>
      <c r="H1" s="287"/>
      <c r="I1" s="287"/>
    </row>
    <row r="2" ht="8.25" customHeight="1">
      <c r="K2" s="117"/>
    </row>
    <row r="3" spans="2:11" ht="39" customHeight="1">
      <c r="B3" s="319" t="s">
        <v>155</v>
      </c>
      <c r="C3" s="320"/>
      <c r="E3" s="262" t="s">
        <v>68</v>
      </c>
      <c r="F3" s="262"/>
      <c r="G3" s="262"/>
      <c r="H3" s="262"/>
      <c r="I3" s="262"/>
      <c r="K3" s="117"/>
    </row>
    <row r="4" spans="2:9" ht="15">
      <c r="B4" s="90" t="s">
        <v>2</v>
      </c>
      <c r="C4" s="128">
        <f>C33</f>
        <v>20.01</v>
      </c>
      <c r="D4" s="65"/>
      <c r="E4" s="309" t="s">
        <v>117</v>
      </c>
      <c r="F4" s="309"/>
      <c r="G4" s="309"/>
      <c r="H4" s="309"/>
      <c r="I4" s="129" t="s">
        <v>69</v>
      </c>
    </row>
    <row r="5" spans="2:11" ht="24">
      <c r="B5" s="90" t="s">
        <v>1</v>
      </c>
      <c r="C5" s="128">
        <f>D33</f>
        <v>20.01</v>
      </c>
      <c r="D5" s="65"/>
      <c r="E5" s="311" t="s">
        <v>74</v>
      </c>
      <c r="F5" s="311"/>
      <c r="G5" s="311"/>
      <c r="H5" s="311"/>
      <c r="I5" s="130" t="s">
        <v>88</v>
      </c>
      <c r="J5" s="117"/>
      <c r="K5" s="117"/>
    </row>
    <row r="6" spans="4:11" ht="15">
      <c r="D6" s="65"/>
      <c r="E6" s="311" t="s">
        <v>75</v>
      </c>
      <c r="F6" s="311"/>
      <c r="G6" s="311"/>
      <c r="H6" s="311"/>
      <c r="I6" s="131" t="s">
        <v>295</v>
      </c>
      <c r="J6" s="117"/>
      <c r="K6" s="117"/>
    </row>
    <row r="7" spans="6:11" ht="9.75" customHeight="1">
      <c r="F7" s="117"/>
      <c r="G7" s="117"/>
      <c r="H7" s="117"/>
      <c r="I7" s="117"/>
      <c r="J7" s="117"/>
      <c r="K7" s="117"/>
    </row>
    <row r="8" spans="6:11" ht="15" customHeight="1">
      <c r="F8" s="117"/>
      <c r="G8" s="117"/>
      <c r="H8" s="117"/>
      <c r="I8" s="117"/>
      <c r="J8" s="117"/>
      <c r="K8" s="117"/>
    </row>
    <row r="9" spans="2:11" ht="15" customHeight="1">
      <c r="B9" s="283" t="s">
        <v>198</v>
      </c>
      <c r="C9" s="284"/>
      <c r="D9" s="284"/>
      <c r="E9" s="284"/>
      <c r="F9" s="284"/>
      <c r="G9" s="137"/>
      <c r="H9" s="137"/>
      <c r="I9" s="117"/>
      <c r="J9" s="117"/>
      <c r="K9" s="117"/>
    </row>
    <row r="10" spans="2:11" s="65" customFormat="1" ht="28.5" customHeight="1">
      <c r="B10" s="321"/>
      <c r="C10" s="323" t="s">
        <v>199</v>
      </c>
      <c r="D10" s="324"/>
      <c r="E10" s="323" t="s">
        <v>42</v>
      </c>
      <c r="F10" s="325"/>
      <c r="G10" s="137"/>
      <c r="H10" s="137"/>
      <c r="I10" s="137"/>
      <c r="J10" s="137"/>
      <c r="K10" s="137"/>
    </row>
    <row r="11" spans="2:9" s="65" customFormat="1" ht="39" customHeight="1">
      <c r="B11" s="322"/>
      <c r="C11" s="115" t="s">
        <v>129</v>
      </c>
      <c r="D11" s="90" t="s">
        <v>1</v>
      </c>
      <c r="E11" s="115" t="s">
        <v>129</v>
      </c>
      <c r="F11" s="90" t="s">
        <v>1</v>
      </c>
      <c r="G11" s="137"/>
      <c r="H11" s="137"/>
      <c r="I11" s="137"/>
    </row>
    <row r="12" spans="2:9" s="65" customFormat="1" ht="15" customHeight="1">
      <c r="B12" s="107" t="s">
        <v>40</v>
      </c>
      <c r="C12" s="217">
        <f>Questionnaire!C53</f>
        <v>0.98</v>
      </c>
      <c r="D12" s="217">
        <f>Questionnaire!D53</f>
        <v>0.98</v>
      </c>
      <c r="E12" s="218">
        <f>ROUND(NumClients*C12,1)</f>
        <v>7840</v>
      </c>
      <c r="F12" s="218">
        <f>ROUND(NumClients*D12,1)</f>
        <v>7840</v>
      </c>
      <c r="G12" s="70">
        <v>1</v>
      </c>
      <c r="H12" s="67"/>
      <c r="I12" s="137"/>
    </row>
    <row r="13" spans="2:9" s="65" customFormat="1" ht="15" customHeight="1">
      <c r="B13" s="107" t="s">
        <v>41</v>
      </c>
      <c r="C13" s="217">
        <f>100%-C12</f>
        <v>0.020000000000000018</v>
      </c>
      <c r="D13" s="217">
        <f>100%-D12</f>
        <v>0.020000000000000018</v>
      </c>
      <c r="E13" s="218">
        <f>ROUND(NumClients*C13,1)</f>
        <v>160</v>
      </c>
      <c r="F13" s="218">
        <f>ROUND(NumClients*D13,1)</f>
        <v>160</v>
      </c>
      <c r="G13" s="70">
        <v>2</v>
      </c>
      <c r="H13" s="67"/>
      <c r="I13" s="137"/>
    </row>
    <row r="14" spans="2:9" s="65" customFormat="1" ht="15" customHeight="1">
      <c r="B14" s="117"/>
      <c r="C14" s="117"/>
      <c r="D14" s="117"/>
      <c r="E14" s="117"/>
      <c r="F14" s="117"/>
      <c r="G14" s="70"/>
      <c r="H14" s="67"/>
      <c r="I14" s="137"/>
    </row>
    <row r="15" spans="2:9" s="65" customFormat="1" ht="15" customHeight="1">
      <c r="B15" s="117"/>
      <c r="C15" s="117"/>
      <c r="D15" s="117"/>
      <c r="E15" s="117"/>
      <c r="F15" s="117"/>
      <c r="G15" s="70"/>
      <c r="H15" s="67"/>
      <c r="I15" s="137"/>
    </row>
    <row r="16" spans="2:9" s="65" customFormat="1" ht="15" customHeight="1">
      <c r="B16" s="117"/>
      <c r="C16" s="117"/>
      <c r="D16" s="117"/>
      <c r="E16" s="117"/>
      <c r="F16" s="117"/>
      <c r="G16" s="70"/>
      <c r="H16" s="67"/>
      <c r="I16" s="137"/>
    </row>
    <row r="17" spans="2:9" s="65" customFormat="1" ht="15" customHeight="1">
      <c r="B17" s="117"/>
      <c r="C17" s="117"/>
      <c r="D17" s="117"/>
      <c r="E17" s="117"/>
      <c r="F17" s="117"/>
      <c r="G17" s="70"/>
      <c r="H17" s="67"/>
      <c r="I17" s="137"/>
    </row>
    <row r="18" spans="2:8" ht="15" customHeight="1">
      <c r="B18" s="117"/>
      <c r="C18" s="117"/>
      <c r="D18" s="117"/>
      <c r="E18" s="117"/>
      <c r="F18" s="117"/>
      <c r="G18" s="117"/>
      <c r="H18" s="117"/>
    </row>
    <row r="19" spans="2:9" ht="15" customHeight="1">
      <c r="B19" s="317" t="s">
        <v>197</v>
      </c>
      <c r="C19" s="317"/>
      <c r="D19" s="317"/>
      <c r="E19" s="317"/>
      <c r="F19" s="317"/>
      <c r="G19" s="317"/>
      <c r="H19" s="317"/>
      <c r="I19" s="317"/>
    </row>
    <row r="20" spans="2:11" s="65" customFormat="1" ht="48" customHeight="1">
      <c r="B20" s="219"/>
      <c r="C20" s="220" t="s">
        <v>26</v>
      </c>
      <c r="D20" s="220" t="s">
        <v>27</v>
      </c>
      <c r="E20" s="220" t="s">
        <v>28</v>
      </c>
      <c r="F20" s="220" t="s">
        <v>174</v>
      </c>
      <c r="G20" s="220" t="s">
        <v>29</v>
      </c>
      <c r="H20" s="220" t="s">
        <v>30</v>
      </c>
      <c r="I20" s="220" t="s">
        <v>31</v>
      </c>
      <c r="J20" s="221"/>
      <c r="K20" s="221"/>
    </row>
    <row r="21" spans="2:11" s="65" customFormat="1" ht="15" customHeight="1">
      <c r="B21" s="318" t="s">
        <v>43</v>
      </c>
      <c r="C21" s="318"/>
      <c r="D21" s="318"/>
      <c r="E21" s="318"/>
      <c r="F21" s="318"/>
      <c r="G21" s="318"/>
      <c r="H21" s="318"/>
      <c r="I21" s="318"/>
      <c r="J21" s="70">
        <v>1</v>
      </c>
      <c r="K21" s="67"/>
    </row>
    <row r="22" spans="2:9" s="65" customFormat="1" ht="15" customHeight="1">
      <c r="B22" s="222" t="s">
        <v>2</v>
      </c>
      <c r="C22" s="207">
        <v>0</v>
      </c>
      <c r="D22" s="207">
        <v>30</v>
      </c>
      <c r="E22" s="207">
        <v>0</v>
      </c>
      <c r="F22" s="207">
        <v>0</v>
      </c>
      <c r="G22" s="207">
        <v>0</v>
      </c>
      <c r="H22" s="207">
        <v>0</v>
      </c>
      <c r="I22" s="209">
        <f>ROUND((C22*L1_Minute)+(D22*L2_Minute)+((E22+F22)*L3_Minute)+(G22*User_Minute)+H22,2)</f>
        <v>28.06</v>
      </c>
    </row>
    <row r="23" spans="2:11" s="65" customFormat="1" ht="15" customHeight="1">
      <c r="B23" s="222" t="s">
        <v>1</v>
      </c>
      <c r="C23" s="207">
        <v>0</v>
      </c>
      <c r="D23" s="207">
        <v>30</v>
      </c>
      <c r="E23" s="207">
        <v>0</v>
      </c>
      <c r="F23" s="207">
        <v>0</v>
      </c>
      <c r="G23" s="207">
        <v>0</v>
      </c>
      <c r="H23" s="207">
        <v>0</v>
      </c>
      <c r="I23" s="209">
        <f>ROUND((C23*L1_Minute)+(D23*L2_Minute)+((E23+F23)*L3_Minute)+(G23*User_Minute)+H23,2)</f>
        <v>28.06</v>
      </c>
      <c r="J23" s="223"/>
      <c r="K23" s="221"/>
    </row>
    <row r="24" spans="2:11" s="65" customFormat="1" ht="15" customHeight="1">
      <c r="B24" s="318" t="s">
        <v>44</v>
      </c>
      <c r="C24" s="318"/>
      <c r="D24" s="318"/>
      <c r="E24" s="318"/>
      <c r="F24" s="318"/>
      <c r="G24" s="318"/>
      <c r="H24" s="318"/>
      <c r="I24" s="318"/>
      <c r="J24" s="70">
        <v>2</v>
      </c>
      <c r="K24" s="67"/>
    </row>
    <row r="25" spans="2:11" s="65" customFormat="1" ht="15" customHeight="1">
      <c r="B25" s="222" t="s">
        <v>2</v>
      </c>
      <c r="C25" s="207">
        <v>0</v>
      </c>
      <c r="D25" s="207">
        <v>0</v>
      </c>
      <c r="E25" s="207">
        <v>5</v>
      </c>
      <c r="F25" s="207">
        <v>5</v>
      </c>
      <c r="G25" s="207">
        <v>0</v>
      </c>
      <c r="H25" s="207">
        <v>0</v>
      </c>
      <c r="I25" s="209">
        <f>ROUND((C25*L1_Minute)+(D25*L2_Minute)+((E25+F25)*L3_Minute)+(G25*User_Minute)+H25,2)</f>
        <v>12.33</v>
      </c>
      <c r="K25" s="221"/>
    </row>
    <row r="26" spans="2:11" s="65" customFormat="1" ht="15" customHeight="1">
      <c r="B26" s="222" t="s">
        <v>1</v>
      </c>
      <c r="C26" s="207">
        <v>0</v>
      </c>
      <c r="D26" s="207">
        <v>0</v>
      </c>
      <c r="E26" s="207">
        <v>5</v>
      </c>
      <c r="F26" s="207">
        <v>5</v>
      </c>
      <c r="G26" s="207">
        <v>0</v>
      </c>
      <c r="H26" s="207">
        <v>0</v>
      </c>
      <c r="I26" s="209">
        <f>ROUND((C26*L1_Minute)+(D26*L2_Minute)+((E26+F26)*L3_Minute)+(G26*User_Minute)+H26,2)</f>
        <v>12.33</v>
      </c>
      <c r="J26" s="223"/>
      <c r="K26" s="221"/>
    </row>
    <row r="28" spans="2:6" ht="15" customHeight="1">
      <c r="B28" s="307" t="s">
        <v>154</v>
      </c>
      <c r="C28" s="308"/>
      <c r="D28" s="308"/>
      <c r="E28" s="308"/>
      <c r="F28" s="308"/>
    </row>
    <row r="29" spans="2:6" s="141" customFormat="1" ht="15" customHeight="1">
      <c r="B29" s="315"/>
      <c r="C29" s="304" t="s">
        <v>18</v>
      </c>
      <c r="D29" s="305"/>
      <c r="E29" s="304" t="str">
        <f>"Annual cost for all "&amp;TEXT(NumClients,"0,000")&amp;" clients"</f>
        <v>Annual cost for all 8,000 clients</v>
      </c>
      <c r="F29" s="306"/>
    </row>
    <row r="30" spans="2:6" ht="42" customHeight="1">
      <c r="B30" s="316"/>
      <c r="C30" s="106" t="s">
        <v>129</v>
      </c>
      <c r="D30" s="90" t="s">
        <v>1</v>
      </c>
      <c r="E30" s="106" t="s">
        <v>129</v>
      </c>
      <c r="F30" s="90" t="s">
        <v>1</v>
      </c>
    </row>
    <row r="31" spans="2:6" ht="15" customHeight="1">
      <c r="B31" s="107" t="s">
        <v>40</v>
      </c>
      <c r="C31" s="224">
        <f aca="true" t="shared" si="0" ref="C31:D33">ROUND(E31/NumClients,2)</f>
        <v>0.28</v>
      </c>
      <c r="D31" s="224">
        <f t="shared" si="0"/>
        <v>0.28</v>
      </c>
      <c r="E31" s="224">
        <f>ROUND(NumAssetInventories*I22,2)</f>
        <v>2244.8</v>
      </c>
      <c r="F31" s="224">
        <f>ROUND(NumAssetInventories*I23,2)</f>
        <v>2244.8</v>
      </c>
    </row>
    <row r="32" spans="2:6" ht="15" customHeight="1">
      <c r="B32" s="107" t="s">
        <v>41</v>
      </c>
      <c r="C32" s="224">
        <f t="shared" si="0"/>
        <v>19.73</v>
      </c>
      <c r="D32" s="224">
        <f t="shared" si="0"/>
        <v>19.73</v>
      </c>
      <c r="E32" s="224">
        <f>ROUND(E13*I25*NumAssetInventories,2)</f>
        <v>157824</v>
      </c>
      <c r="F32" s="224">
        <f>ROUND(F13*I26*NumAssetInventories,2)</f>
        <v>157824</v>
      </c>
    </row>
    <row r="33" spans="2:7" ht="15" customHeight="1">
      <c r="B33" s="225" t="s">
        <v>85</v>
      </c>
      <c r="C33" s="224">
        <f t="shared" si="0"/>
        <v>20.01</v>
      </c>
      <c r="D33" s="224">
        <f t="shared" si="0"/>
        <v>20.01</v>
      </c>
      <c r="E33" s="224">
        <f>SUM(E31:E32)</f>
        <v>160068.8</v>
      </c>
      <c r="F33" s="224">
        <f>SUM(F31:F32)</f>
        <v>160068.8</v>
      </c>
      <c r="G33" s="226"/>
    </row>
  </sheetData>
  <sheetProtection sheet="1" objects="1" scenarios="1"/>
  <mergeCells count="17">
    <mergeCell ref="B9:F9"/>
    <mergeCell ref="B24:I24"/>
    <mergeCell ref="B10:B11"/>
    <mergeCell ref="C29:D29"/>
    <mergeCell ref="E29:F29"/>
    <mergeCell ref="C10:D10"/>
    <mergeCell ref="E10:F10"/>
    <mergeCell ref="B1:I1"/>
    <mergeCell ref="B29:B30"/>
    <mergeCell ref="B19:I19"/>
    <mergeCell ref="B21:I21"/>
    <mergeCell ref="B3:C3"/>
    <mergeCell ref="E3:I3"/>
    <mergeCell ref="E4:H4"/>
    <mergeCell ref="E5:H5"/>
    <mergeCell ref="E6:H6"/>
    <mergeCell ref="B28:F28"/>
  </mergeCells>
  <hyperlinks>
    <hyperlink ref="I6" location="Questionnaire!A1" display="Questionnaire"/>
    <hyperlink ref="I5" location="Summary!A1" display="Summary"/>
  </hyperlinks>
  <printOptions/>
  <pageMargins left="0.3" right="0.3" top="0.3" bottom="0.3" header="0" footer="0"/>
  <pageSetup fitToHeight="9" fitToWidth="1" horizontalDpi="600" verticalDpi="600" orientation="landscape" r:id="rId4"/>
  <rowBreaks count="2" manualBreakCount="2">
    <brk id="26" max="255" man="1"/>
    <brk id="27" max="255" man="1"/>
  </rowBreaks>
  <colBreaks count="1" manualBreakCount="1">
    <brk id="1"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1">
    <tabColor theme="4"/>
  </sheetPr>
  <dimension ref="A1:L50"/>
  <sheetViews>
    <sheetView zoomScalePageLayoutView="0" workbookViewId="0" topLeftCell="A1">
      <pane ySplit="7" topLeftCell="BM8" activePane="bottomLeft" state="frozen"/>
      <selection pane="topLeft" activeCell="A1" sqref="A1"/>
      <selection pane="bottomLeft" activeCell="A1" sqref="A1"/>
    </sheetView>
  </sheetViews>
  <sheetFormatPr defaultColWidth="9.140625" defaultRowHeight="15"/>
  <cols>
    <col min="1" max="1" width="1.7109375" style="127" customWidth="1"/>
    <col min="2" max="2" width="27.28125" style="127" customWidth="1"/>
    <col min="3" max="5" width="12.28125" style="127" customWidth="1"/>
    <col min="6" max="6" width="11.7109375" style="127" customWidth="1"/>
    <col min="7" max="7" width="12.7109375" style="127" customWidth="1"/>
    <col min="8" max="8" width="11.421875" style="127" customWidth="1"/>
    <col min="9" max="9" width="12.28125" style="127" customWidth="1"/>
    <col min="10" max="10" width="12.00390625" style="127" customWidth="1"/>
    <col min="11" max="11" width="4.140625" style="127" customWidth="1"/>
    <col min="12" max="16384" width="9.140625" style="127" customWidth="1"/>
  </cols>
  <sheetData>
    <row r="1" spans="1:9" ht="27.75" customHeight="1">
      <c r="A1" s="62"/>
      <c r="B1" s="287" t="s">
        <v>24</v>
      </c>
      <c r="C1" s="287"/>
      <c r="D1" s="287"/>
      <c r="E1" s="287"/>
      <c r="F1" s="287"/>
      <c r="G1" s="287"/>
      <c r="H1" s="287"/>
      <c r="I1" s="287"/>
    </row>
    <row r="2" ht="7.5" customHeight="1"/>
    <row r="3" spans="2:9" ht="27.75" customHeight="1">
      <c r="B3" s="326" t="s">
        <v>164</v>
      </c>
      <c r="C3" s="320"/>
      <c r="E3" s="262" t="s">
        <v>68</v>
      </c>
      <c r="F3" s="262"/>
      <c r="G3" s="262"/>
      <c r="H3" s="262"/>
      <c r="I3" s="262"/>
    </row>
    <row r="4" spans="2:9" s="65" customFormat="1" ht="24.75" customHeight="1">
      <c r="B4" s="90" t="s">
        <v>2</v>
      </c>
      <c r="C4" s="128">
        <f>C50</f>
        <v>363.44</v>
      </c>
      <c r="E4" s="309" t="s">
        <v>117</v>
      </c>
      <c r="F4" s="309"/>
      <c r="G4" s="309"/>
      <c r="H4" s="309"/>
      <c r="I4" s="129" t="s">
        <v>69</v>
      </c>
    </row>
    <row r="5" spans="2:9" s="65" customFormat="1" ht="24" customHeight="1">
      <c r="B5" s="90" t="s">
        <v>1</v>
      </c>
      <c r="C5" s="128">
        <f>D50</f>
        <v>140.67</v>
      </c>
      <c r="E5" s="311" t="s">
        <v>74</v>
      </c>
      <c r="F5" s="311"/>
      <c r="G5" s="311"/>
      <c r="H5" s="311"/>
      <c r="I5" s="130" t="s">
        <v>88</v>
      </c>
    </row>
    <row r="6" spans="5:9" s="65" customFormat="1" ht="12">
      <c r="E6" s="311" t="s">
        <v>75</v>
      </c>
      <c r="F6" s="311"/>
      <c r="G6" s="311"/>
      <c r="H6" s="311"/>
      <c r="I6" s="131" t="s">
        <v>295</v>
      </c>
    </row>
    <row r="7" ht="6.75" customHeight="1"/>
    <row r="8" ht="16.5" customHeight="1"/>
    <row r="9" spans="2:9" ht="15" customHeight="1">
      <c r="B9" s="117"/>
      <c r="C9" s="117"/>
      <c r="D9" s="117"/>
      <c r="E9" s="117"/>
      <c r="G9" s="117"/>
      <c r="H9" s="117"/>
      <c r="I9" s="117"/>
    </row>
    <row r="10" spans="2:9" ht="15" customHeight="1">
      <c r="B10" s="283" t="s">
        <v>93</v>
      </c>
      <c r="C10" s="284"/>
      <c r="D10" s="284"/>
      <c r="E10" s="284"/>
      <c r="F10" s="284"/>
      <c r="G10" s="65"/>
      <c r="H10" s="183"/>
      <c r="I10" s="117"/>
    </row>
    <row r="11" spans="2:9" s="65" customFormat="1" ht="27.75" customHeight="1">
      <c r="B11" s="195"/>
      <c r="C11" s="328" t="s">
        <v>146</v>
      </c>
      <c r="D11" s="329"/>
      <c r="E11" s="328" t="s">
        <v>134</v>
      </c>
      <c r="F11" s="329"/>
      <c r="H11" s="183"/>
      <c r="I11" s="137"/>
    </row>
    <row r="12" spans="2:7" s="92" customFormat="1" ht="39" customHeight="1">
      <c r="B12" s="196"/>
      <c r="C12" s="106" t="s">
        <v>129</v>
      </c>
      <c r="D12" s="90" t="s">
        <v>1</v>
      </c>
      <c r="E12" s="106" t="s">
        <v>129</v>
      </c>
      <c r="F12" s="90" t="s">
        <v>1</v>
      </c>
      <c r="G12" s="183"/>
    </row>
    <row r="13" spans="2:8" s="65" customFormat="1" ht="24">
      <c r="B13" s="107" t="s">
        <v>168</v>
      </c>
      <c r="C13" s="197">
        <v>0.9</v>
      </c>
      <c r="D13" s="197">
        <v>0.9</v>
      </c>
      <c r="E13" s="198">
        <f>ROUND(Questionnaire!$C$44*C13,1)</f>
        <v>28080</v>
      </c>
      <c r="F13" s="198">
        <f>ROUND(Questionnaire!$D$44*D13,1)</f>
        <v>24480</v>
      </c>
      <c r="G13" s="70">
        <v>1</v>
      </c>
      <c r="H13" s="67"/>
    </row>
    <row r="14" spans="2:8" s="65" customFormat="1" ht="24">
      <c r="B14" s="107" t="s">
        <v>169</v>
      </c>
      <c r="C14" s="197">
        <v>0.06</v>
      </c>
      <c r="D14" s="197">
        <v>0.08</v>
      </c>
      <c r="E14" s="198">
        <f>ROUND(Questionnaire!$C$44*C14,1)</f>
        <v>1872</v>
      </c>
      <c r="F14" s="198">
        <f>ROUND(Questionnaire!$D$44*D14,1)</f>
        <v>2176</v>
      </c>
      <c r="G14" s="70">
        <v>2</v>
      </c>
      <c r="H14" s="67"/>
    </row>
    <row r="15" spans="2:8" s="65" customFormat="1" ht="24">
      <c r="B15" s="107" t="s">
        <v>233</v>
      </c>
      <c r="C15" s="197">
        <v>0.04</v>
      </c>
      <c r="D15" s="197">
        <v>0.02</v>
      </c>
      <c r="E15" s="198">
        <f>ROUND(Questionnaire!$C$44*C15,1)</f>
        <v>1248</v>
      </c>
      <c r="F15" s="198">
        <f>ROUND(Questionnaire!$D$44*D15,1)</f>
        <v>544</v>
      </c>
      <c r="G15" s="70">
        <v>3</v>
      </c>
      <c r="H15" s="67"/>
    </row>
    <row r="16" spans="2:8" s="65" customFormat="1" ht="36">
      <c r="B16" s="107" t="s">
        <v>36</v>
      </c>
      <c r="C16" s="197">
        <v>0</v>
      </c>
      <c r="D16" s="197">
        <v>0</v>
      </c>
      <c r="E16" s="198">
        <f>ROUND(Questionnaire!$C$44*C16,1)</f>
        <v>0</v>
      </c>
      <c r="F16" s="198">
        <f>ROUND(Questionnaire!$D$44*D16,1)</f>
        <v>0</v>
      </c>
      <c r="G16" s="70">
        <v>4</v>
      </c>
      <c r="H16" s="67"/>
    </row>
    <row r="17" spans="2:8" s="65" customFormat="1" ht="15" customHeight="1">
      <c r="B17" s="199" t="s">
        <v>8</v>
      </c>
      <c r="C17" s="200">
        <f>SUM(C13:C16)</f>
        <v>1</v>
      </c>
      <c r="D17" s="200">
        <f>SUM(D13:D16)</f>
        <v>1</v>
      </c>
      <c r="E17" s="198">
        <f>SUM(E13:E16)</f>
        <v>31200</v>
      </c>
      <c r="F17" s="198">
        <f>SUM(F13:F16)</f>
        <v>27200</v>
      </c>
      <c r="G17" s="70"/>
      <c r="H17" s="133"/>
    </row>
    <row r="18" spans="2:7" ht="15" customHeight="1">
      <c r="B18" s="117"/>
      <c r="C18" s="117"/>
      <c r="D18" s="117"/>
      <c r="E18" s="117"/>
      <c r="F18" s="117"/>
      <c r="G18" s="117"/>
    </row>
    <row r="19" spans="2:7" ht="15" customHeight="1">
      <c r="B19" s="283" t="s">
        <v>94</v>
      </c>
      <c r="C19" s="284"/>
      <c r="D19" s="284"/>
      <c r="E19" s="284"/>
      <c r="F19" s="284"/>
      <c r="G19" s="105"/>
    </row>
    <row r="20" spans="2:6" s="65" customFormat="1" ht="24" customHeight="1">
      <c r="B20" s="201"/>
      <c r="C20" s="330" t="s">
        <v>163</v>
      </c>
      <c r="D20" s="331"/>
      <c r="E20" s="330" t="s">
        <v>135</v>
      </c>
      <c r="F20" s="332"/>
    </row>
    <row r="21" spans="2:7" s="92" customFormat="1" ht="39" customHeight="1">
      <c r="B21" s="202"/>
      <c r="C21" s="106" t="s">
        <v>129</v>
      </c>
      <c r="D21" s="155" t="s">
        <v>1</v>
      </c>
      <c r="E21" s="106" t="s">
        <v>129</v>
      </c>
      <c r="F21" s="155" t="s">
        <v>1</v>
      </c>
      <c r="G21" s="105"/>
    </row>
    <row r="22" spans="2:8" s="65" customFormat="1" ht="24">
      <c r="B22" s="107" t="s">
        <v>168</v>
      </c>
      <c r="C22" s="197">
        <v>0.15</v>
      </c>
      <c r="D22" s="197">
        <v>0.15</v>
      </c>
      <c r="E22" s="198">
        <f>ROUND(Questionnaire!$C$43*C22,1)</f>
        <v>2520</v>
      </c>
      <c r="F22" s="198">
        <f>ROUND(Questionnaire!$D$43*D22,1)</f>
        <v>720</v>
      </c>
      <c r="G22" s="70">
        <v>1</v>
      </c>
      <c r="H22" s="67"/>
    </row>
    <row r="23" spans="2:8" s="65" customFormat="1" ht="24">
      <c r="B23" s="107" t="s">
        <v>169</v>
      </c>
      <c r="C23" s="197">
        <v>0.15</v>
      </c>
      <c r="D23" s="197">
        <v>0.15</v>
      </c>
      <c r="E23" s="198">
        <f>ROUND(Questionnaire!$C$43*C23,1)</f>
        <v>2520</v>
      </c>
      <c r="F23" s="198">
        <f>ROUND(Questionnaire!$D$43*D23,1)</f>
        <v>720</v>
      </c>
      <c r="G23" s="70">
        <v>2</v>
      </c>
      <c r="H23" s="67"/>
    </row>
    <row r="24" spans="2:8" s="65" customFormat="1" ht="24">
      <c r="B24" s="107" t="s">
        <v>233</v>
      </c>
      <c r="C24" s="197">
        <v>0.5</v>
      </c>
      <c r="D24" s="197">
        <v>0.1</v>
      </c>
      <c r="E24" s="198">
        <f>ROUND(Questionnaire!$C$43*C24,1)</f>
        <v>8400</v>
      </c>
      <c r="F24" s="198">
        <f>ROUND(Questionnaire!$D$43*D24,1)</f>
        <v>480</v>
      </c>
      <c r="G24" s="70">
        <v>3</v>
      </c>
      <c r="H24" s="67"/>
    </row>
    <row r="25" spans="2:8" s="65" customFormat="1" ht="36">
      <c r="B25" s="107" t="s">
        <v>36</v>
      </c>
      <c r="C25" s="197">
        <v>0.2</v>
      </c>
      <c r="D25" s="197">
        <v>0.6</v>
      </c>
      <c r="E25" s="198">
        <f>ROUND(Questionnaire!$C$43*C25,1)</f>
        <v>3360</v>
      </c>
      <c r="F25" s="198">
        <f>ROUND(Questionnaire!$D$43*D25,1)</f>
        <v>2880</v>
      </c>
      <c r="G25" s="70">
        <v>4</v>
      </c>
      <c r="H25" s="67"/>
    </row>
    <row r="26" spans="2:6" s="65" customFormat="1" ht="15" customHeight="1">
      <c r="B26" s="199" t="s">
        <v>8</v>
      </c>
      <c r="C26" s="203">
        <f>SUM(C22:C25)</f>
        <v>1</v>
      </c>
      <c r="D26" s="203">
        <f>SUM(D22:D25)</f>
        <v>1</v>
      </c>
      <c r="E26" s="198">
        <f>SUM(E22:E25)</f>
        <v>16800</v>
      </c>
      <c r="F26" s="198">
        <f>ROUND(SUM(F22:F25),1)</f>
        <v>4800</v>
      </c>
    </row>
    <row r="27" spans="2:9" ht="15">
      <c r="B27" s="117"/>
      <c r="C27" s="117"/>
      <c r="D27" s="117"/>
      <c r="E27" s="117"/>
      <c r="F27" s="117"/>
      <c r="G27" s="117"/>
      <c r="H27" s="117"/>
      <c r="I27" s="117"/>
    </row>
    <row r="28" spans="2:10" ht="15" customHeight="1">
      <c r="B28" s="317" t="s">
        <v>32</v>
      </c>
      <c r="C28" s="317"/>
      <c r="D28" s="317"/>
      <c r="E28" s="317"/>
      <c r="F28" s="317"/>
      <c r="G28" s="317"/>
      <c r="H28" s="317"/>
      <c r="I28" s="317"/>
      <c r="J28" s="317"/>
    </row>
    <row r="29" spans="2:10" s="206" customFormat="1" ht="96">
      <c r="B29" s="204"/>
      <c r="C29" s="205" t="s">
        <v>171</v>
      </c>
      <c r="D29" s="205" t="s">
        <v>172</v>
      </c>
      <c r="E29" s="205" t="s">
        <v>147</v>
      </c>
      <c r="F29" s="205" t="s">
        <v>124</v>
      </c>
      <c r="G29" s="205" t="s">
        <v>92</v>
      </c>
      <c r="H29" s="205" t="s">
        <v>29</v>
      </c>
      <c r="I29" s="205" t="s">
        <v>96</v>
      </c>
      <c r="J29" s="205" t="s">
        <v>231</v>
      </c>
    </row>
    <row r="30" spans="2:12" s="65" customFormat="1" ht="15" customHeight="1">
      <c r="B30" s="327" t="s">
        <v>168</v>
      </c>
      <c r="C30" s="327"/>
      <c r="D30" s="327"/>
      <c r="E30" s="327"/>
      <c r="F30" s="327"/>
      <c r="G30" s="327"/>
      <c r="H30" s="327"/>
      <c r="I30" s="327"/>
      <c r="J30" s="327"/>
      <c r="K30" s="70">
        <v>1</v>
      </c>
      <c r="L30" s="67"/>
    </row>
    <row r="31" spans="2:11" s="65" customFormat="1" ht="24">
      <c r="B31" s="199" t="s">
        <v>2</v>
      </c>
      <c r="C31" s="207">
        <v>7</v>
      </c>
      <c r="D31" s="207">
        <v>0</v>
      </c>
      <c r="E31" s="207">
        <v>0</v>
      </c>
      <c r="F31" s="207">
        <v>0</v>
      </c>
      <c r="G31" s="207"/>
      <c r="H31" s="207">
        <v>13</v>
      </c>
      <c r="I31" s="208">
        <v>0</v>
      </c>
      <c r="J31" s="209">
        <f>ROUND((C31*L1_Minute)+((D31+G31)*L2_Minute)+((E31+F31)*L3_Minute)+(H31*User_Minute)+I31,2)</f>
        <v>13.6</v>
      </c>
      <c r="K31" s="105"/>
    </row>
    <row r="32" spans="2:11" s="65" customFormat="1" ht="24">
      <c r="B32" s="199" t="s">
        <v>1</v>
      </c>
      <c r="C32" s="207">
        <v>7</v>
      </c>
      <c r="D32" s="207">
        <v>0</v>
      </c>
      <c r="E32" s="207">
        <v>0</v>
      </c>
      <c r="F32" s="207">
        <v>0</v>
      </c>
      <c r="G32" s="207"/>
      <c r="H32" s="207">
        <v>13</v>
      </c>
      <c r="I32" s="208">
        <v>0</v>
      </c>
      <c r="J32" s="209">
        <f>ROUND((C32*L1_Minute)+((D32+G32)*L2_Minute)+((E32+F32)*L3_Minute)+(H32*User_Minute)+I32,2)</f>
        <v>13.6</v>
      </c>
      <c r="K32" s="105"/>
    </row>
    <row r="33" spans="2:12" s="65" customFormat="1" ht="15" customHeight="1">
      <c r="B33" s="327" t="s">
        <v>169</v>
      </c>
      <c r="C33" s="327"/>
      <c r="D33" s="327"/>
      <c r="E33" s="327"/>
      <c r="F33" s="327"/>
      <c r="G33" s="327"/>
      <c r="H33" s="327"/>
      <c r="I33" s="327"/>
      <c r="J33" s="327"/>
      <c r="K33" s="70">
        <v>2</v>
      </c>
      <c r="L33" s="67"/>
    </row>
    <row r="34" spans="2:11" s="65" customFormat="1" ht="24">
      <c r="B34" s="199" t="s">
        <v>2</v>
      </c>
      <c r="C34" s="207">
        <v>15</v>
      </c>
      <c r="D34" s="207">
        <v>7</v>
      </c>
      <c r="E34" s="207">
        <v>0</v>
      </c>
      <c r="F34" s="207">
        <v>0</v>
      </c>
      <c r="G34" s="207"/>
      <c r="H34" s="207">
        <v>20</v>
      </c>
      <c r="I34" s="208">
        <v>0</v>
      </c>
      <c r="J34" s="209">
        <f>ROUND((C34*L1_Minute)+((D34+G34)*L2_Minute)+((E34+F34)*L3_Minute)+(H34*User_Minute)+I34,2)</f>
        <v>30.35</v>
      </c>
      <c r="K34" s="105"/>
    </row>
    <row r="35" spans="2:11" s="65" customFormat="1" ht="24">
      <c r="B35" s="199" t="s">
        <v>1</v>
      </c>
      <c r="C35" s="207">
        <v>15</v>
      </c>
      <c r="D35" s="207">
        <v>7</v>
      </c>
      <c r="E35" s="207">
        <v>0</v>
      </c>
      <c r="F35" s="207">
        <v>0</v>
      </c>
      <c r="G35" s="207"/>
      <c r="H35" s="207">
        <v>20</v>
      </c>
      <c r="I35" s="208">
        <v>0</v>
      </c>
      <c r="J35" s="209">
        <f>ROUND((C35*L1_Minute)+((D35+G35)*L2_Minute)+((E35+F35)*L3_Minute)+(H35*User_Minute)+I35,2)</f>
        <v>30.35</v>
      </c>
      <c r="K35" s="105"/>
    </row>
    <row r="36" spans="2:12" s="65" customFormat="1" ht="15" customHeight="1">
      <c r="B36" s="327" t="s">
        <v>269</v>
      </c>
      <c r="C36" s="327"/>
      <c r="D36" s="327"/>
      <c r="E36" s="327"/>
      <c r="F36" s="327"/>
      <c r="G36" s="327"/>
      <c r="H36" s="327"/>
      <c r="I36" s="327"/>
      <c r="J36" s="327"/>
      <c r="K36" s="70">
        <v>3</v>
      </c>
      <c r="L36" s="67"/>
    </row>
    <row r="37" spans="2:11" s="65" customFormat="1" ht="24">
      <c r="B37" s="199" t="s">
        <v>2</v>
      </c>
      <c r="C37" s="207">
        <v>6</v>
      </c>
      <c r="D37" s="207">
        <v>0</v>
      </c>
      <c r="E37" s="207">
        <v>50</v>
      </c>
      <c r="F37" s="207">
        <v>28</v>
      </c>
      <c r="G37" s="207"/>
      <c r="H37" s="207">
        <v>90</v>
      </c>
      <c r="I37" s="208">
        <v>0</v>
      </c>
      <c r="J37" s="209">
        <f>ROUND((C37*L1_Minute)+((D37+G37)*L2_Minute)+((E37+F37)*L3_Minute)+(H37*User_Minute)+I37,2)</f>
        <v>161.46</v>
      </c>
      <c r="K37" s="105"/>
    </row>
    <row r="38" spans="2:11" s="65" customFormat="1" ht="24">
      <c r="B38" s="199" t="s">
        <v>1</v>
      </c>
      <c r="C38" s="207">
        <v>6</v>
      </c>
      <c r="D38" s="207">
        <v>0</v>
      </c>
      <c r="E38" s="207">
        <v>50</v>
      </c>
      <c r="F38" s="207">
        <v>19</v>
      </c>
      <c r="G38" s="207"/>
      <c r="H38" s="207">
        <v>90</v>
      </c>
      <c r="I38" s="208">
        <v>0</v>
      </c>
      <c r="J38" s="209">
        <f>ROUND((C38*L1_Minute)+((D38+G38)*L2_Minute)+((E38+F38)*L3_Minute)+(H38*User_Minute)+I38,2)</f>
        <v>150.36</v>
      </c>
      <c r="K38" s="105"/>
    </row>
    <row r="39" spans="2:12" s="65" customFormat="1" ht="15" customHeight="1">
      <c r="B39" s="327" t="s">
        <v>36</v>
      </c>
      <c r="C39" s="327"/>
      <c r="D39" s="327"/>
      <c r="E39" s="327"/>
      <c r="F39" s="327"/>
      <c r="G39" s="327"/>
      <c r="H39" s="327"/>
      <c r="I39" s="327"/>
      <c r="J39" s="327"/>
      <c r="K39" s="70">
        <v>4</v>
      </c>
      <c r="L39" s="67"/>
    </row>
    <row r="40" spans="2:12" s="65" customFormat="1" ht="25.5" customHeight="1">
      <c r="B40" s="199" t="s">
        <v>2</v>
      </c>
      <c r="C40" s="207">
        <v>6</v>
      </c>
      <c r="D40" s="210">
        <v>0</v>
      </c>
      <c r="E40" s="207">
        <v>0</v>
      </c>
      <c r="F40" s="207">
        <v>0</v>
      </c>
      <c r="G40" s="210">
        <v>60</v>
      </c>
      <c r="H40" s="207">
        <v>85</v>
      </c>
      <c r="I40" s="208">
        <v>100</v>
      </c>
      <c r="J40" s="209">
        <f>ROUND((C40*L1_Minute)+((D40+G40)*L2_Minute)+((E40+F40)*L3_Minute)+(H40*User_Minute)+I40,2)</f>
        <v>218.01</v>
      </c>
      <c r="K40" s="105"/>
      <c r="L40" s="133"/>
    </row>
    <row r="41" spans="2:11" s="65" customFormat="1" ht="24">
      <c r="B41" s="211" t="s">
        <v>1</v>
      </c>
      <c r="C41" s="207">
        <v>6</v>
      </c>
      <c r="D41" s="210">
        <v>0</v>
      </c>
      <c r="E41" s="207">
        <v>0</v>
      </c>
      <c r="F41" s="207">
        <v>0</v>
      </c>
      <c r="G41" s="210">
        <v>42</v>
      </c>
      <c r="H41" s="207">
        <v>80</v>
      </c>
      <c r="I41" s="208">
        <v>90</v>
      </c>
      <c r="J41" s="209">
        <f>ROUND((C41*L1_Minute)+((D41+G41)*L2_Minute)+((E41+F41)*L3_Minute)+(H41*User_Minute)+I41,2)</f>
        <v>187.77</v>
      </c>
      <c r="K41" s="105"/>
    </row>
    <row r="42" ht="15"/>
    <row r="43" spans="2:8" ht="15" customHeight="1">
      <c r="B43" s="307" t="s">
        <v>112</v>
      </c>
      <c r="C43" s="308"/>
      <c r="D43" s="308"/>
      <c r="E43" s="308"/>
      <c r="F43" s="308"/>
      <c r="G43" s="145"/>
      <c r="H43" s="145"/>
    </row>
    <row r="44" spans="2:8" ht="24" customHeight="1">
      <c r="B44" s="212"/>
      <c r="C44" s="304" t="s">
        <v>118</v>
      </c>
      <c r="D44" s="305"/>
      <c r="E44" s="304" t="str">
        <f>"Annual cost for all "&amp;TEXT(NumClients,"0,000")&amp;" clients"</f>
        <v>Annual cost for all 8,000 clients</v>
      </c>
      <c r="F44" s="306"/>
      <c r="G44" s="70">
        <v>1</v>
      </c>
      <c r="H44" s="67"/>
    </row>
    <row r="45" spans="2:6" s="145" customFormat="1" ht="60">
      <c r="B45" s="188"/>
      <c r="C45" s="106" t="s">
        <v>129</v>
      </c>
      <c r="D45" s="90" t="s">
        <v>1</v>
      </c>
      <c r="E45" s="106" t="s">
        <v>129</v>
      </c>
      <c r="F45" s="90" t="s">
        <v>1</v>
      </c>
    </row>
    <row r="46" spans="2:6" s="145" customFormat="1" ht="24">
      <c r="B46" s="213" t="s">
        <v>168</v>
      </c>
      <c r="C46" s="214">
        <f aca="true" t="shared" si="0" ref="C46:D50">ROUND(E46/NumClients,2)</f>
        <v>52.02</v>
      </c>
      <c r="D46" s="214">
        <f t="shared" si="0"/>
        <v>42.84</v>
      </c>
      <c r="E46" s="215">
        <f>ROUND($J31*(E22+E13),2)</f>
        <v>416160</v>
      </c>
      <c r="F46" s="215">
        <f>ROUND($J32*(F22+F13),2)</f>
        <v>342720</v>
      </c>
    </row>
    <row r="47" spans="2:7" s="145" customFormat="1" ht="24">
      <c r="B47" s="213" t="s">
        <v>169</v>
      </c>
      <c r="C47" s="214">
        <f t="shared" si="0"/>
        <v>16.66</v>
      </c>
      <c r="D47" s="214">
        <f t="shared" si="0"/>
        <v>10.99</v>
      </c>
      <c r="E47" s="215">
        <f>ROUND($J34*(E23+E14),2)</f>
        <v>133297.2</v>
      </c>
      <c r="F47" s="215">
        <f>ROUND($J35*(F23+F14),2)</f>
        <v>87893.6</v>
      </c>
      <c r="G47" s="105"/>
    </row>
    <row r="48" spans="2:7" s="145" customFormat="1" ht="24">
      <c r="B48" s="213" t="s">
        <v>235</v>
      </c>
      <c r="C48" s="214">
        <f t="shared" si="0"/>
        <v>203.2</v>
      </c>
      <c r="D48" s="214">
        <f t="shared" si="0"/>
        <v>19.25</v>
      </c>
      <c r="E48" s="215">
        <f>ROUND($J37*((E24*Questionnaire!C46)+(E15*Questionnaire!C45)),2)</f>
        <v>1625579.28</v>
      </c>
      <c r="F48" s="215">
        <f>ROUND($J38*((F24*Questionnaire!D46)+(F15*Questionnaire!D45)),2)</f>
        <v>153968.64</v>
      </c>
      <c r="G48" s="105"/>
    </row>
    <row r="49" spans="2:7" s="145" customFormat="1" ht="36">
      <c r="B49" s="213" t="s">
        <v>36</v>
      </c>
      <c r="C49" s="214">
        <f t="shared" si="0"/>
        <v>91.56</v>
      </c>
      <c r="D49" s="214">
        <f t="shared" si="0"/>
        <v>67.6</v>
      </c>
      <c r="E49" s="215">
        <f>ROUND($J40*(E25+E16),2)</f>
        <v>732513.6</v>
      </c>
      <c r="F49" s="215">
        <f>ROUND($J41*(F25+F16),2)</f>
        <v>540777.6</v>
      </c>
      <c r="G49" s="105"/>
    </row>
    <row r="50" spans="2:7" s="145" customFormat="1" ht="24.75">
      <c r="B50" s="216" t="s">
        <v>33</v>
      </c>
      <c r="C50" s="214">
        <f t="shared" si="0"/>
        <v>363.44</v>
      </c>
      <c r="D50" s="214">
        <f t="shared" si="0"/>
        <v>140.67</v>
      </c>
      <c r="E50" s="215">
        <f>SUM(E46:E49)</f>
        <v>2907550.08</v>
      </c>
      <c r="F50" s="215">
        <f>SUM(F46:F49)</f>
        <v>1125359.8399999999</v>
      </c>
      <c r="G50" s="105"/>
    </row>
  </sheetData>
  <sheetProtection sheet="1" objects="1" scenarios="1"/>
  <mergeCells count="20">
    <mergeCell ref="B43:F43"/>
    <mergeCell ref="C44:D44"/>
    <mergeCell ref="B10:F10"/>
    <mergeCell ref="E11:F11"/>
    <mergeCell ref="C11:D11"/>
    <mergeCell ref="C20:D20"/>
    <mergeCell ref="B39:J39"/>
    <mergeCell ref="B36:J36"/>
    <mergeCell ref="E20:F20"/>
    <mergeCell ref="B19:F19"/>
    <mergeCell ref="E44:F44"/>
    <mergeCell ref="B1:I1"/>
    <mergeCell ref="E4:H4"/>
    <mergeCell ref="E5:H5"/>
    <mergeCell ref="B3:C3"/>
    <mergeCell ref="B33:J33"/>
    <mergeCell ref="E6:H6"/>
    <mergeCell ref="E3:I3"/>
    <mergeCell ref="B30:J30"/>
    <mergeCell ref="B28:J28"/>
  </mergeCells>
  <hyperlinks>
    <hyperlink ref="I6" location="Questionnaire!A1" display="Questionnaire"/>
    <hyperlink ref="I5" location="Summary!A1" display="Summary"/>
  </hyperlinks>
  <printOptions/>
  <pageMargins left="0.3" right="0.3" top="0.3" bottom="0.3" header="0" footer="0"/>
  <pageSetup fitToHeight="9" horizontalDpi="600" verticalDpi="600" orientation="landscape" scale="92" r:id="rId4"/>
  <rowBreaks count="2" manualBreakCount="2">
    <brk id="27" max="255" man="1"/>
    <brk id="51" max="255" man="1"/>
  </rowBreaks>
  <drawing r:id="rId3"/>
  <legacyDrawing r:id="rId2"/>
</worksheet>
</file>

<file path=xl/worksheets/sheet7.xml><?xml version="1.0" encoding="utf-8"?>
<worksheet xmlns="http://schemas.openxmlformats.org/spreadsheetml/2006/main" xmlns:r="http://schemas.openxmlformats.org/officeDocument/2006/relationships">
  <sheetPr codeName="Sheet6">
    <tabColor theme="4"/>
  </sheetPr>
  <dimension ref="A1:L46"/>
  <sheetViews>
    <sheetView zoomScaleSheetLayoutView="100" zoomScalePageLayoutView="0" workbookViewId="0" topLeftCell="A1">
      <pane ySplit="7" topLeftCell="BM8" activePane="bottomLeft" state="frozen"/>
      <selection pane="topLeft" activeCell="A1" sqref="A1"/>
      <selection pane="bottomLeft" activeCell="A1" sqref="A1"/>
    </sheetView>
  </sheetViews>
  <sheetFormatPr defaultColWidth="9.140625" defaultRowHeight="15" customHeight="1"/>
  <cols>
    <col min="1" max="1" width="1.7109375" style="127" customWidth="1"/>
    <col min="2" max="2" width="38.7109375" style="127" customWidth="1"/>
    <col min="3" max="3" width="13.421875" style="127" customWidth="1"/>
    <col min="4" max="4" width="12.00390625" style="127" customWidth="1"/>
    <col min="5" max="6" width="13.421875" style="127" customWidth="1"/>
    <col min="7" max="7" width="12.28125" style="127" customWidth="1"/>
    <col min="8" max="8" width="11.8515625" style="127" customWidth="1"/>
    <col min="9" max="9" width="12.7109375" style="127" customWidth="1"/>
    <col min="10" max="10" width="2.28125" style="127" customWidth="1"/>
    <col min="11" max="16384" width="9.140625" style="127" customWidth="1"/>
  </cols>
  <sheetData>
    <row r="1" spans="1:12" ht="25.5" customHeight="1">
      <c r="A1" s="62"/>
      <c r="B1" s="287" t="s">
        <v>255</v>
      </c>
      <c r="C1" s="287"/>
      <c r="D1" s="287"/>
      <c r="E1" s="287"/>
      <c r="F1" s="287"/>
      <c r="G1" s="287"/>
      <c r="H1" s="287"/>
      <c r="I1" s="287"/>
      <c r="J1" s="65"/>
      <c r="K1" s="65"/>
      <c r="L1" s="65"/>
    </row>
    <row r="2" ht="8.25" customHeight="1">
      <c r="K2" s="117"/>
    </row>
    <row r="3" spans="2:11" ht="39" customHeight="1">
      <c r="B3" s="319" t="s">
        <v>156</v>
      </c>
      <c r="C3" s="320"/>
      <c r="E3" s="262" t="s">
        <v>68</v>
      </c>
      <c r="F3" s="262"/>
      <c r="G3" s="262"/>
      <c r="H3" s="262"/>
      <c r="I3" s="262"/>
      <c r="K3" s="117"/>
    </row>
    <row r="4" spans="2:9" ht="15">
      <c r="B4" s="90" t="s">
        <v>2</v>
      </c>
      <c r="C4" s="128">
        <f>C46</f>
        <v>79.14999999999999</v>
      </c>
      <c r="D4" s="65"/>
      <c r="E4" s="309" t="s">
        <v>117</v>
      </c>
      <c r="F4" s="309"/>
      <c r="G4" s="309"/>
      <c r="H4" s="309"/>
      <c r="I4" s="129" t="s">
        <v>69</v>
      </c>
    </row>
    <row r="5" spans="2:11" ht="24">
      <c r="B5" s="90" t="s">
        <v>1</v>
      </c>
      <c r="C5" s="128">
        <f>D46</f>
        <v>55.18</v>
      </c>
      <c r="D5" s="65"/>
      <c r="E5" s="311" t="s">
        <v>74</v>
      </c>
      <c r="F5" s="311"/>
      <c r="G5" s="311"/>
      <c r="H5" s="311"/>
      <c r="I5" s="130" t="s">
        <v>88</v>
      </c>
      <c r="J5" s="117"/>
      <c r="K5" s="117"/>
    </row>
    <row r="6" spans="4:11" ht="15">
      <c r="D6" s="65"/>
      <c r="E6" s="311" t="s">
        <v>75</v>
      </c>
      <c r="F6" s="311"/>
      <c r="G6" s="311"/>
      <c r="H6" s="311"/>
      <c r="I6" s="131" t="s">
        <v>295</v>
      </c>
      <c r="J6" s="117"/>
      <c r="K6" s="117"/>
    </row>
    <row r="7" spans="6:11" ht="9.75" customHeight="1">
      <c r="F7" s="117"/>
      <c r="G7" s="117"/>
      <c r="H7" s="117"/>
      <c r="I7" s="117"/>
      <c r="J7" s="117"/>
      <c r="K7" s="117"/>
    </row>
    <row r="8" spans="2:6" ht="15" customHeight="1">
      <c r="B8" s="65"/>
      <c r="C8" s="65"/>
      <c r="D8" s="65"/>
      <c r="E8" s="65"/>
      <c r="F8" s="65"/>
    </row>
    <row r="9" spans="2:8" ht="15" customHeight="1">
      <c r="B9" s="333" t="s">
        <v>256</v>
      </c>
      <c r="C9" s="333"/>
      <c r="D9" s="333"/>
      <c r="E9" s="333"/>
      <c r="F9" s="333"/>
      <c r="G9" s="117"/>
      <c r="H9" s="117"/>
    </row>
    <row r="10" spans="2:8" s="65" customFormat="1" ht="51" customHeight="1">
      <c r="B10" s="227"/>
      <c r="C10" s="119" t="s">
        <v>55</v>
      </c>
      <c r="D10" s="119" t="s">
        <v>56</v>
      </c>
      <c r="E10" s="119" t="s">
        <v>259</v>
      </c>
      <c r="F10" s="119" t="s">
        <v>31</v>
      </c>
      <c r="G10" s="137"/>
      <c r="H10" s="137"/>
    </row>
    <row r="11" spans="2:8" s="65" customFormat="1" ht="15" customHeight="1">
      <c r="B11" s="327" t="s">
        <v>46</v>
      </c>
      <c r="C11" s="327"/>
      <c r="D11" s="327"/>
      <c r="E11" s="327"/>
      <c r="F11" s="327"/>
      <c r="G11" s="70">
        <v>1</v>
      </c>
      <c r="H11" s="67"/>
    </row>
    <row r="12" spans="2:7" s="65" customFormat="1" ht="15" customHeight="1">
      <c r="B12" s="199" t="s">
        <v>2</v>
      </c>
      <c r="C12" s="207">
        <v>30</v>
      </c>
      <c r="D12" s="208">
        <v>7</v>
      </c>
      <c r="E12" s="208">
        <v>0</v>
      </c>
      <c r="F12" s="228">
        <f>ROUND((C12*Deploy_Minute)+(D12*NumConfigs)+E12,2)</f>
        <v>70.72</v>
      </c>
      <c r="G12" s="229"/>
    </row>
    <row r="13" spans="2:7" s="65" customFormat="1" ht="15" customHeight="1">
      <c r="B13" s="199" t="s">
        <v>1</v>
      </c>
      <c r="C13" s="207">
        <v>20</v>
      </c>
      <c r="D13" s="208">
        <v>7</v>
      </c>
      <c r="E13" s="208">
        <v>0</v>
      </c>
      <c r="F13" s="228">
        <f>ROUND((C13*Deploy_Minute)+(D13*NumConfigs)+E13,2)</f>
        <v>58.81</v>
      </c>
      <c r="G13" s="229"/>
    </row>
    <row r="14" spans="2:8" s="65" customFormat="1" ht="15" customHeight="1">
      <c r="B14" s="334" t="s">
        <v>47</v>
      </c>
      <c r="C14" s="335"/>
      <c r="D14" s="335"/>
      <c r="E14" s="335"/>
      <c r="F14" s="336"/>
      <c r="G14" s="70">
        <v>2</v>
      </c>
      <c r="H14" s="67"/>
    </row>
    <row r="15" spans="2:7" s="65" customFormat="1" ht="15" customHeight="1">
      <c r="B15" s="199" t="s">
        <v>2</v>
      </c>
      <c r="C15" s="207">
        <v>0</v>
      </c>
      <c r="D15" s="208">
        <v>4</v>
      </c>
      <c r="E15" s="208">
        <v>0</v>
      </c>
      <c r="F15" s="228">
        <f>ROUND((C15*Deploy_Minute)+(D15*NumConfigs)+E15,2)</f>
        <v>20</v>
      </c>
      <c r="G15" s="229"/>
    </row>
    <row r="16" spans="2:7" s="65" customFormat="1" ht="15" customHeight="1">
      <c r="B16" s="199" t="s">
        <v>1</v>
      </c>
      <c r="C16" s="207">
        <v>0</v>
      </c>
      <c r="D16" s="208">
        <v>4</v>
      </c>
      <c r="E16" s="208">
        <v>0</v>
      </c>
      <c r="F16" s="228">
        <f>ROUND((C16*Deploy_Minute)+(D16*NumConfigs)+E16,2)</f>
        <v>20</v>
      </c>
      <c r="G16" s="230"/>
    </row>
    <row r="17" spans="2:8" s="65" customFormat="1" ht="15" customHeight="1">
      <c r="B17" s="334" t="s">
        <v>276</v>
      </c>
      <c r="C17" s="335"/>
      <c r="D17" s="335"/>
      <c r="E17" s="335"/>
      <c r="F17" s="336"/>
      <c r="G17" s="70">
        <v>3</v>
      </c>
      <c r="H17" s="67"/>
    </row>
    <row r="18" spans="2:7" s="65" customFormat="1" ht="15" customHeight="1">
      <c r="B18" s="199" t="s">
        <v>2</v>
      </c>
      <c r="C18" s="207">
        <v>15</v>
      </c>
      <c r="D18" s="208">
        <v>0</v>
      </c>
      <c r="E18" s="208">
        <v>0</v>
      </c>
      <c r="F18" s="228">
        <f>ROUND((C18*Deploy_Minute)+(D18*NumConfigs)+E18,2)</f>
        <v>17.86</v>
      </c>
      <c r="G18" s="230"/>
    </row>
    <row r="19" spans="2:7" s="65" customFormat="1" ht="15" customHeight="1">
      <c r="B19" s="199" t="s">
        <v>1</v>
      </c>
      <c r="C19" s="210">
        <v>5</v>
      </c>
      <c r="D19" s="208">
        <v>0</v>
      </c>
      <c r="E19" s="208">
        <v>0</v>
      </c>
      <c r="F19" s="228">
        <f>ROUND((C19*Deploy_Minute)+(D19*NumConfigs)+E19,2)</f>
        <v>5.95</v>
      </c>
      <c r="G19" s="229"/>
    </row>
    <row r="20" spans="2:8" s="65" customFormat="1" ht="15" customHeight="1">
      <c r="B20" s="334" t="s">
        <v>260</v>
      </c>
      <c r="C20" s="335"/>
      <c r="D20" s="335"/>
      <c r="E20" s="335"/>
      <c r="F20" s="336"/>
      <c r="G20" s="70">
        <v>4</v>
      </c>
      <c r="H20" s="67"/>
    </row>
    <row r="21" spans="2:7" s="65" customFormat="1" ht="15" customHeight="1">
      <c r="B21" s="199" t="s">
        <v>2</v>
      </c>
      <c r="C21" s="207">
        <v>5</v>
      </c>
      <c r="D21" s="208">
        <v>0</v>
      </c>
      <c r="E21" s="231">
        <v>40</v>
      </c>
      <c r="F21" s="228">
        <f>ROUND((C21*Deploy_Minute)+(D21*NumConfigs)+E21,2)</f>
        <v>45.95</v>
      </c>
      <c r="G21" s="229"/>
    </row>
    <row r="22" spans="2:7" s="65" customFormat="1" ht="15" customHeight="1">
      <c r="B22" s="199" t="s">
        <v>1</v>
      </c>
      <c r="C22" s="207">
        <v>0</v>
      </c>
      <c r="D22" s="208">
        <v>0</v>
      </c>
      <c r="E22" s="231">
        <v>40</v>
      </c>
      <c r="F22" s="228">
        <f>ROUND((C22*Deploy_Minute)+(D22*NumConfigs)+E22,2)</f>
        <v>40</v>
      </c>
      <c r="G22" s="229"/>
    </row>
    <row r="23" spans="2:8" s="65" customFormat="1" ht="15" customHeight="1">
      <c r="B23" s="334" t="s">
        <v>54</v>
      </c>
      <c r="C23" s="335"/>
      <c r="D23" s="335"/>
      <c r="E23" s="335"/>
      <c r="F23" s="336"/>
      <c r="G23" s="70">
        <v>5</v>
      </c>
      <c r="H23" s="67"/>
    </row>
    <row r="24" spans="2:8" s="65" customFormat="1" ht="15" customHeight="1">
      <c r="B24" s="199" t="s">
        <v>2</v>
      </c>
      <c r="C24" s="207">
        <v>20</v>
      </c>
      <c r="D24" s="208">
        <v>0</v>
      </c>
      <c r="E24" s="231">
        <v>40</v>
      </c>
      <c r="F24" s="228">
        <f>ROUND((C24*Deploy_Minute)+(D24*NumConfigs)+E24,2)</f>
        <v>63.81</v>
      </c>
      <c r="G24" s="230"/>
      <c r="H24" s="137"/>
    </row>
    <row r="25" spans="2:7" s="65" customFormat="1" ht="15" customHeight="1">
      <c r="B25" s="199" t="s">
        <v>1</v>
      </c>
      <c r="C25" s="207">
        <v>10</v>
      </c>
      <c r="D25" s="208">
        <v>0</v>
      </c>
      <c r="E25" s="231">
        <v>40</v>
      </c>
      <c r="F25" s="228">
        <f>ROUND((C25*Deploy_Minute)+(D25*NumConfigs)+E25,2)</f>
        <v>51.91</v>
      </c>
      <c r="G25" s="229"/>
    </row>
    <row r="27" spans="2:9" ht="15" customHeight="1">
      <c r="B27" s="333" t="s">
        <v>262</v>
      </c>
      <c r="C27" s="333"/>
      <c r="D27" s="333"/>
      <c r="E27" s="333"/>
      <c r="F27" s="333"/>
      <c r="G27" s="333"/>
      <c r="H27" s="333"/>
      <c r="I27" s="333"/>
    </row>
    <row r="28" spans="2:9" s="65" customFormat="1" ht="39" customHeight="1">
      <c r="B28" s="227"/>
      <c r="C28" s="232" t="s">
        <v>26</v>
      </c>
      <c r="D28" s="232" t="s">
        <v>27</v>
      </c>
      <c r="E28" s="232" t="s">
        <v>28</v>
      </c>
      <c r="F28" s="232" t="s">
        <v>174</v>
      </c>
      <c r="G28" s="232" t="s">
        <v>29</v>
      </c>
      <c r="H28" s="232" t="s">
        <v>30</v>
      </c>
      <c r="I28" s="232" t="s">
        <v>31</v>
      </c>
    </row>
    <row r="29" spans="2:11" s="65" customFormat="1" ht="15" customHeight="1">
      <c r="B29" s="327" t="s">
        <v>170</v>
      </c>
      <c r="C29" s="327"/>
      <c r="D29" s="327"/>
      <c r="E29" s="327"/>
      <c r="F29" s="327"/>
      <c r="G29" s="327"/>
      <c r="H29" s="327"/>
      <c r="I29" s="327"/>
      <c r="J29" s="70">
        <v>1</v>
      </c>
      <c r="K29" s="67"/>
    </row>
    <row r="30" spans="2:9" s="65" customFormat="1" ht="15" customHeight="1">
      <c r="B30" s="199" t="s">
        <v>2</v>
      </c>
      <c r="C30" s="166">
        <v>0</v>
      </c>
      <c r="D30" s="166">
        <v>0</v>
      </c>
      <c r="E30" s="166">
        <v>90</v>
      </c>
      <c r="F30" s="166">
        <v>40</v>
      </c>
      <c r="G30" s="166">
        <v>20</v>
      </c>
      <c r="H30" s="166">
        <v>0</v>
      </c>
      <c r="I30" s="233">
        <f>ROUND((C30*L1_Minute)+(D30*L2_Minute)+((E30+F30)*L3_Minute)+(G30*User_Minute)+H30,2)</f>
        <v>173.89</v>
      </c>
    </row>
    <row r="31" spans="2:9" s="65" customFormat="1" ht="15" customHeight="1">
      <c r="B31" s="199" t="s">
        <v>1</v>
      </c>
      <c r="C31" s="166">
        <v>0</v>
      </c>
      <c r="D31" s="166">
        <v>0</v>
      </c>
      <c r="E31" s="166">
        <v>90</v>
      </c>
      <c r="F31" s="166">
        <v>30</v>
      </c>
      <c r="G31" s="166">
        <v>20</v>
      </c>
      <c r="H31" s="166">
        <v>0</v>
      </c>
      <c r="I31" s="233">
        <f>ROUND((C31*L1_Minute)+(D31*L2_Minute)+((E31+F31)*L3_Minute)+(G31*User_Minute)+H31,2)</f>
        <v>161.56</v>
      </c>
    </row>
    <row r="33" spans="2:4" ht="15" customHeight="1">
      <c r="B33" s="281" t="s">
        <v>254</v>
      </c>
      <c r="C33" s="282"/>
      <c r="D33" s="282"/>
    </row>
    <row r="34" spans="2:4" ht="38.25" customHeight="1">
      <c r="B34" s="118"/>
      <c r="C34" s="115" t="s">
        <v>129</v>
      </c>
      <c r="D34" s="119" t="s">
        <v>1</v>
      </c>
    </row>
    <row r="35" spans="2:6" ht="15" customHeight="1">
      <c r="B35" s="120" t="s">
        <v>59</v>
      </c>
      <c r="C35" s="233">
        <f>SUM(F12+F15+F18+F21)</f>
        <v>154.53</v>
      </c>
      <c r="D35" s="233">
        <f>F13+F16+F19+F22</f>
        <v>124.76</v>
      </c>
      <c r="E35" s="70">
        <v>1</v>
      </c>
      <c r="F35" s="67"/>
    </row>
    <row r="36" spans="2:10" ht="15" customHeight="1">
      <c r="B36" s="120" t="s">
        <v>58</v>
      </c>
      <c r="C36" s="233">
        <f>SUM(F12+F15+F18+F21)</f>
        <v>154.53</v>
      </c>
      <c r="D36" s="233">
        <f>F13+F16+F19+F22</f>
        <v>124.76</v>
      </c>
      <c r="E36" s="70">
        <v>2</v>
      </c>
      <c r="F36" s="67"/>
      <c r="J36" s="234"/>
    </row>
    <row r="37" spans="2:6" ht="15" customHeight="1">
      <c r="B37" s="120" t="s">
        <v>57</v>
      </c>
      <c r="C37" s="233">
        <f>F24</f>
        <v>63.81</v>
      </c>
      <c r="D37" s="233">
        <f>F25</f>
        <v>51.91</v>
      </c>
      <c r="E37" s="70">
        <v>3</v>
      </c>
      <c r="F37" s="67"/>
    </row>
    <row r="38" spans="2:6" ht="15" customHeight="1">
      <c r="B38" s="120" t="s">
        <v>261</v>
      </c>
      <c r="C38" s="233">
        <f>I30</f>
        <v>173.89</v>
      </c>
      <c r="D38" s="233">
        <f>I31</f>
        <v>161.56</v>
      </c>
      <c r="E38" s="70">
        <v>4</v>
      </c>
      <c r="F38" s="67"/>
    </row>
    <row r="39" ht="15" customHeight="1">
      <c r="F39" s="67" t="s">
        <v>292</v>
      </c>
    </row>
    <row r="40" spans="2:8" ht="15" customHeight="1">
      <c r="B40" s="307" t="s">
        <v>45</v>
      </c>
      <c r="C40" s="308"/>
      <c r="D40" s="308"/>
      <c r="E40" s="308"/>
      <c r="F40" s="308"/>
      <c r="G40" s="145"/>
      <c r="H40" s="145"/>
    </row>
    <row r="41" spans="2:8" s="141" customFormat="1" ht="15" customHeight="1">
      <c r="B41" s="181"/>
      <c r="C41" s="304" t="s">
        <v>18</v>
      </c>
      <c r="D41" s="305"/>
      <c r="E41" s="304" t="str">
        <f>"Annual cost for all "&amp;TEXT(NumClients,"0,000")&amp;" clients"</f>
        <v>Annual cost for all 8,000 clients</v>
      </c>
      <c r="F41" s="306"/>
      <c r="G41" s="235"/>
      <c r="H41" s="235"/>
    </row>
    <row r="42" spans="2:6" s="145" customFormat="1" ht="60">
      <c r="B42" s="119"/>
      <c r="C42" s="106" t="s">
        <v>129</v>
      </c>
      <c r="D42" s="119" t="s">
        <v>1</v>
      </c>
      <c r="E42" s="106" t="s">
        <v>129</v>
      </c>
      <c r="F42" s="119" t="s">
        <v>1</v>
      </c>
    </row>
    <row r="43" spans="2:8" ht="15" customHeight="1">
      <c r="B43" s="120" t="s">
        <v>48</v>
      </c>
      <c r="C43" s="224">
        <f aca="true" t="shared" si="0" ref="C43:D45">ROUND(E43/NumClients,2)</f>
        <v>7.9</v>
      </c>
      <c r="D43" s="224">
        <f t="shared" si="0"/>
        <v>6.4</v>
      </c>
      <c r="E43" s="224">
        <f>ROUND((Questionnaire!C60*C35)+(Questionnaire!C65*C38),2)</f>
        <v>63203.12</v>
      </c>
      <c r="F43" s="224">
        <f>ROUND((Questionnaire!D60*D35)+(Questionnaire!D65*D38),2)</f>
        <v>51196.48</v>
      </c>
      <c r="G43" s="70">
        <v>1</v>
      </c>
      <c r="H43" s="67"/>
    </row>
    <row r="44" spans="2:8" ht="15" customHeight="1">
      <c r="B44" s="120" t="s">
        <v>49</v>
      </c>
      <c r="C44" s="224">
        <f t="shared" si="0"/>
        <v>55.3</v>
      </c>
      <c r="D44" s="224">
        <f t="shared" si="0"/>
        <v>38.4</v>
      </c>
      <c r="E44" s="224">
        <f>ROUND((Questionnaire!C61*C36)+(Questionnaire!C66*C38),2)</f>
        <v>442421.84</v>
      </c>
      <c r="F44" s="224">
        <f>ROUND((Questionnaire!D61*D36)+(Questionnaire!D66*D38),2)</f>
        <v>307178.88</v>
      </c>
      <c r="G44" s="70">
        <v>2</v>
      </c>
      <c r="H44" s="67"/>
    </row>
    <row r="45" spans="2:8" ht="15" customHeight="1">
      <c r="B45" s="120" t="s">
        <v>50</v>
      </c>
      <c r="C45" s="224">
        <f t="shared" si="0"/>
        <v>15.95</v>
      </c>
      <c r="D45" s="224">
        <f t="shared" si="0"/>
        <v>10.38</v>
      </c>
      <c r="E45" s="224">
        <f>ROUND(Questionnaire!C62*C37,2)</f>
        <v>127620</v>
      </c>
      <c r="F45" s="224">
        <f>ROUND(Questionnaire!D62*D37,2)</f>
        <v>83056</v>
      </c>
      <c r="G45" s="70">
        <v>3</v>
      </c>
      <c r="H45" s="67"/>
    </row>
    <row r="46" spans="2:8" ht="15" customHeight="1">
      <c r="B46" s="236" t="s">
        <v>267</v>
      </c>
      <c r="C46" s="224">
        <f>SUM(C43:C45)</f>
        <v>79.14999999999999</v>
      </c>
      <c r="D46" s="224">
        <f>SUM(D43:D45)</f>
        <v>55.18</v>
      </c>
      <c r="E46" s="224">
        <f>SUM(E43:E45)</f>
        <v>633244.96</v>
      </c>
      <c r="F46" s="224">
        <f>SUM(F43:F45)</f>
        <v>441431.36</v>
      </c>
      <c r="G46" s="70">
        <v>4</v>
      </c>
      <c r="H46" s="67"/>
    </row>
  </sheetData>
  <sheetProtection sheet="1" objects="1" scenarios="1"/>
  <mergeCells count="18">
    <mergeCell ref="B1:I1"/>
    <mergeCell ref="B3:C3"/>
    <mergeCell ref="E3:I3"/>
    <mergeCell ref="E4:H4"/>
    <mergeCell ref="C41:D41"/>
    <mergeCell ref="E41:F41"/>
    <mergeCell ref="B33:D33"/>
    <mergeCell ref="B17:F17"/>
    <mergeCell ref="B29:I29"/>
    <mergeCell ref="B27:I27"/>
    <mergeCell ref="B11:F11"/>
    <mergeCell ref="E5:H5"/>
    <mergeCell ref="E6:H6"/>
    <mergeCell ref="B40:F40"/>
    <mergeCell ref="B9:F9"/>
    <mergeCell ref="B14:F14"/>
    <mergeCell ref="B20:F20"/>
    <mergeCell ref="B23:F23"/>
  </mergeCells>
  <hyperlinks>
    <hyperlink ref="I6" location="Questionnaire!A1" display="Questionnaire"/>
    <hyperlink ref="I5" location="Summary!A1" display="Summary"/>
  </hyperlinks>
  <printOptions/>
  <pageMargins left="0.3" right="0.3" top="0.3" bottom="0.3" header="0" footer="0"/>
  <pageSetup fitToHeight="9" horizontalDpi="600" verticalDpi="600" orientation="landscape" scale="92" r:id="rId4"/>
  <rowBreaks count="2" manualBreakCount="2">
    <brk id="32" max="255" man="1"/>
    <brk id="56" max="255" man="1"/>
  </rowBreaks>
  <drawing r:id="rId3"/>
  <legacyDrawing r:id="rId2"/>
</worksheet>
</file>

<file path=xl/worksheets/sheet8.xml><?xml version="1.0" encoding="utf-8"?>
<worksheet xmlns="http://schemas.openxmlformats.org/spreadsheetml/2006/main" xmlns:r="http://schemas.openxmlformats.org/officeDocument/2006/relationships">
  <sheetPr codeName="Sheet12">
    <tabColor theme="3"/>
  </sheetPr>
  <dimension ref="A1:K56"/>
  <sheetViews>
    <sheetView zoomScaleSheetLayoutView="100"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ustomHeight="1"/>
  <cols>
    <col min="1" max="1" width="1.7109375" style="127" customWidth="1"/>
    <col min="2" max="2" width="38.7109375" style="127" customWidth="1"/>
    <col min="3" max="9" width="12.00390625" style="127" customWidth="1"/>
    <col min="10" max="10" width="4.140625" style="127" customWidth="1"/>
    <col min="11" max="16384" width="9.140625" style="127" customWidth="1"/>
  </cols>
  <sheetData>
    <row r="1" spans="1:9" ht="27.75" customHeight="1">
      <c r="A1" s="62"/>
      <c r="B1" s="287" t="s">
        <v>175</v>
      </c>
      <c r="C1" s="287"/>
      <c r="D1" s="287"/>
      <c r="E1" s="287"/>
      <c r="F1" s="287"/>
      <c r="G1" s="287"/>
      <c r="H1" s="287"/>
      <c r="I1" s="287"/>
    </row>
    <row r="2" ht="8.25" customHeight="1">
      <c r="K2" s="117"/>
    </row>
    <row r="3" spans="2:11" ht="39" customHeight="1">
      <c r="B3" s="319" t="s">
        <v>205</v>
      </c>
      <c r="C3" s="320"/>
      <c r="E3" s="262" t="s">
        <v>68</v>
      </c>
      <c r="F3" s="262"/>
      <c r="G3" s="262"/>
      <c r="H3" s="262"/>
      <c r="I3" s="262"/>
      <c r="K3" s="117"/>
    </row>
    <row r="4" spans="2:9" ht="15">
      <c r="B4" s="90" t="s">
        <v>2</v>
      </c>
      <c r="C4" s="128">
        <f>C47</f>
        <v>12.97</v>
      </c>
      <c r="D4" s="65"/>
      <c r="E4" s="309" t="s">
        <v>117</v>
      </c>
      <c r="F4" s="309"/>
      <c r="G4" s="309"/>
      <c r="H4" s="309"/>
      <c r="I4" s="129" t="s">
        <v>69</v>
      </c>
    </row>
    <row r="5" spans="2:11" ht="24">
      <c r="B5" s="90" t="s">
        <v>1</v>
      </c>
      <c r="C5" s="128">
        <f>D47</f>
        <v>10.63</v>
      </c>
      <c r="D5" s="65"/>
      <c r="E5" s="311" t="s">
        <v>74</v>
      </c>
      <c r="F5" s="311"/>
      <c r="G5" s="311"/>
      <c r="H5" s="311"/>
      <c r="I5" s="130" t="s">
        <v>88</v>
      </c>
      <c r="J5" s="117"/>
      <c r="K5" s="117"/>
    </row>
    <row r="6" spans="4:11" ht="15">
      <c r="D6" s="65"/>
      <c r="E6" s="311" t="s">
        <v>75</v>
      </c>
      <c r="F6" s="311"/>
      <c r="G6" s="311"/>
      <c r="H6" s="311"/>
      <c r="I6" s="131" t="s">
        <v>295</v>
      </c>
      <c r="J6" s="117"/>
      <c r="K6" s="117"/>
    </row>
    <row r="7" spans="6:11" ht="9.75" customHeight="1">
      <c r="F7" s="117"/>
      <c r="G7" s="117"/>
      <c r="H7" s="117"/>
      <c r="I7" s="117"/>
      <c r="J7" s="117"/>
      <c r="K7" s="117"/>
    </row>
    <row r="8" spans="2:11" ht="15">
      <c r="B8" s="117"/>
      <c r="C8" s="117"/>
      <c r="D8" s="117"/>
      <c r="E8" s="117"/>
      <c r="F8" s="117"/>
      <c r="G8" s="117"/>
      <c r="H8" s="117"/>
      <c r="I8" s="117"/>
      <c r="J8" s="117"/>
      <c r="K8" s="117"/>
    </row>
    <row r="9" spans="2:11" ht="15" customHeight="1">
      <c r="B9" s="283" t="s">
        <v>210</v>
      </c>
      <c r="C9" s="284"/>
      <c r="D9" s="284"/>
      <c r="E9" s="284"/>
      <c r="F9" s="284"/>
      <c r="G9" s="137"/>
      <c r="H9" s="137"/>
      <c r="I9" s="117"/>
      <c r="J9" s="117"/>
      <c r="K9" s="117"/>
    </row>
    <row r="10" spans="2:10" s="65" customFormat="1" ht="15" customHeight="1">
      <c r="B10" s="321"/>
      <c r="C10" s="304" t="s">
        <v>272</v>
      </c>
      <c r="D10" s="305"/>
      <c r="E10" s="304" t="s">
        <v>273</v>
      </c>
      <c r="F10" s="306"/>
      <c r="G10" s="137"/>
      <c r="H10" s="137"/>
      <c r="I10" s="137"/>
      <c r="J10" s="137"/>
    </row>
    <row r="11" spans="2:9" s="65" customFormat="1" ht="39" customHeight="1">
      <c r="B11" s="322"/>
      <c r="C11" s="115" t="s">
        <v>129</v>
      </c>
      <c r="D11" s="90" t="s">
        <v>1</v>
      </c>
      <c r="E11" s="115" t="s">
        <v>129</v>
      </c>
      <c r="F11" s="90" t="s">
        <v>1</v>
      </c>
      <c r="G11" s="137"/>
      <c r="H11" s="137"/>
      <c r="I11" s="137"/>
    </row>
    <row r="12" spans="2:9" s="65" customFormat="1" ht="18" customHeight="1">
      <c r="B12" s="337" t="s">
        <v>214</v>
      </c>
      <c r="C12" s="338"/>
      <c r="D12" s="338"/>
      <c r="E12" s="338"/>
      <c r="F12" s="339"/>
      <c r="G12" s="70">
        <v>1</v>
      </c>
      <c r="H12" s="67"/>
      <c r="I12" s="137"/>
    </row>
    <row r="13" spans="2:9" s="65" customFormat="1" ht="15" customHeight="1">
      <c r="B13" s="237" t="s">
        <v>207</v>
      </c>
      <c r="C13" s="238">
        <f>Questionnaire!C23</f>
        <v>0.98</v>
      </c>
      <c r="D13" s="238">
        <f>Questionnaire!D23</f>
        <v>0.98</v>
      </c>
      <c r="E13" s="239">
        <f>ROUND(NumClients*C13,1)</f>
        <v>7840</v>
      </c>
      <c r="F13" s="239">
        <f>ROUND(NumClients*D13,1)</f>
        <v>7840</v>
      </c>
      <c r="G13" s="105" t="s">
        <v>67</v>
      </c>
      <c r="I13" s="137"/>
    </row>
    <row r="14" spans="2:9" s="65" customFormat="1" ht="15" customHeight="1">
      <c r="B14" s="107" t="s">
        <v>208</v>
      </c>
      <c r="C14" s="217">
        <f>100%-C13</f>
        <v>0.020000000000000018</v>
      </c>
      <c r="D14" s="217">
        <f>100%-D13</f>
        <v>0.020000000000000018</v>
      </c>
      <c r="E14" s="218">
        <f>ROUND(NumClients*C14,1)</f>
        <v>160</v>
      </c>
      <c r="F14" s="218">
        <f>ROUND(NumClients*D14,1)</f>
        <v>160</v>
      </c>
      <c r="G14" s="105"/>
      <c r="H14" s="137"/>
      <c r="I14" s="137"/>
    </row>
    <row r="15" spans="2:9" s="65" customFormat="1" ht="15" customHeight="1">
      <c r="B15" s="337" t="s">
        <v>215</v>
      </c>
      <c r="C15" s="338"/>
      <c r="D15" s="338"/>
      <c r="E15" s="338"/>
      <c r="F15" s="339"/>
      <c r="G15" s="70">
        <v>2</v>
      </c>
      <c r="H15" s="67"/>
      <c r="I15" s="137"/>
    </row>
    <row r="16" spans="2:9" s="65" customFormat="1" ht="15" customHeight="1">
      <c r="B16" s="237" t="s">
        <v>211</v>
      </c>
      <c r="C16" s="240">
        <v>0.9</v>
      </c>
      <c r="D16" s="240">
        <v>0.9</v>
      </c>
      <c r="E16" s="239">
        <f>Questionnaire!C72*C16*NumClients</f>
        <v>144.00000000000003</v>
      </c>
      <c r="F16" s="239">
        <f>Questionnaire!D72*D16*NumClients</f>
        <v>72.00000000000001</v>
      </c>
      <c r="G16" s="105"/>
      <c r="H16" s="137"/>
      <c r="I16" s="137"/>
    </row>
    <row r="17" spans="2:9" s="65" customFormat="1" ht="15" customHeight="1">
      <c r="B17" s="107" t="s">
        <v>212</v>
      </c>
      <c r="C17" s="197">
        <v>0.05</v>
      </c>
      <c r="D17" s="197">
        <v>0.05</v>
      </c>
      <c r="E17" s="218">
        <f>Questionnaire!C72*C17*NumClients</f>
        <v>8</v>
      </c>
      <c r="F17" s="218">
        <f>Questionnaire!D72*D17*NumClients</f>
        <v>4</v>
      </c>
      <c r="G17" s="241"/>
      <c r="H17" s="137"/>
      <c r="I17" s="137"/>
    </row>
    <row r="18" spans="2:9" s="65" customFormat="1" ht="15" customHeight="1">
      <c r="B18" s="107" t="s">
        <v>213</v>
      </c>
      <c r="C18" s="197">
        <v>0.05</v>
      </c>
      <c r="D18" s="197">
        <v>0.05</v>
      </c>
      <c r="E18" s="218">
        <f>Questionnaire!C72*C18*NumClients</f>
        <v>8</v>
      </c>
      <c r="F18" s="218">
        <f>Questionnaire!D72*D18*NumClients</f>
        <v>4</v>
      </c>
      <c r="G18" s="105"/>
      <c r="H18" s="137"/>
      <c r="I18" s="137"/>
    </row>
    <row r="19" spans="2:7" s="65" customFormat="1" ht="24">
      <c r="B19" s="164" t="s">
        <v>297</v>
      </c>
      <c r="C19" s="242">
        <f>SUM(C13:C14)</f>
        <v>1</v>
      </c>
      <c r="D19" s="242">
        <f>SUM(D13:D14)</f>
        <v>1</v>
      </c>
      <c r="E19" s="218">
        <f>SUM(E16:E18)</f>
        <v>160.00000000000003</v>
      </c>
      <c r="F19" s="218">
        <f>SUM(F16:F18)</f>
        <v>80.00000000000001</v>
      </c>
      <c r="G19" s="105"/>
    </row>
    <row r="20" spans="2:8" ht="15" customHeight="1">
      <c r="B20" s="117"/>
      <c r="C20" s="117"/>
      <c r="D20" s="117"/>
      <c r="E20" s="117"/>
      <c r="F20" s="117"/>
      <c r="G20" s="117"/>
      <c r="H20" s="117"/>
    </row>
    <row r="21" spans="2:9" ht="15" customHeight="1">
      <c r="B21" s="317" t="s">
        <v>216</v>
      </c>
      <c r="C21" s="317"/>
      <c r="D21" s="317"/>
      <c r="E21" s="317"/>
      <c r="F21" s="317"/>
      <c r="G21" s="317"/>
      <c r="H21" s="317"/>
      <c r="I21" s="317"/>
    </row>
    <row r="22" spans="2:11" s="65" customFormat="1" ht="39" customHeight="1">
      <c r="B22" s="219"/>
      <c r="C22" s="220" t="s">
        <v>26</v>
      </c>
      <c r="D22" s="220" t="s">
        <v>27</v>
      </c>
      <c r="E22" s="220" t="s">
        <v>28</v>
      </c>
      <c r="F22" s="220" t="s">
        <v>174</v>
      </c>
      <c r="G22" s="220" t="s">
        <v>29</v>
      </c>
      <c r="H22" s="220" t="s">
        <v>30</v>
      </c>
      <c r="I22" s="220" t="s">
        <v>31</v>
      </c>
      <c r="J22" s="221"/>
      <c r="K22" s="221"/>
    </row>
    <row r="23" spans="2:11" s="65" customFormat="1" ht="15" customHeight="1">
      <c r="B23" s="318" t="s">
        <v>207</v>
      </c>
      <c r="C23" s="318"/>
      <c r="D23" s="318"/>
      <c r="E23" s="318"/>
      <c r="F23" s="318"/>
      <c r="G23" s="318"/>
      <c r="H23" s="318"/>
      <c r="I23" s="318"/>
      <c r="J23" s="70">
        <v>1</v>
      </c>
      <c r="K23" s="67"/>
    </row>
    <row r="24" spans="2:11" s="65" customFormat="1" ht="15" customHeight="1">
      <c r="B24" s="222" t="s">
        <v>2</v>
      </c>
      <c r="C24" s="207">
        <v>0</v>
      </c>
      <c r="D24" s="207">
        <v>30</v>
      </c>
      <c r="E24" s="207">
        <v>0</v>
      </c>
      <c r="F24" s="207">
        <v>0</v>
      </c>
      <c r="G24" s="207">
        <v>0</v>
      </c>
      <c r="H24" s="207">
        <v>0</v>
      </c>
      <c r="I24" s="209">
        <f>ROUND((C24*L1_Minute)+(D24*L2_Minute)+((E24+F24)*L3_Minute)+(G24*User_Minute)+H24,2)</f>
        <v>28.06</v>
      </c>
      <c r="J24" s="243"/>
      <c r="K24" s="221"/>
    </row>
    <row r="25" spans="2:11" s="65" customFormat="1" ht="15" customHeight="1">
      <c r="B25" s="222" t="s">
        <v>1</v>
      </c>
      <c r="C25" s="207">
        <v>0</v>
      </c>
      <c r="D25" s="207">
        <v>30</v>
      </c>
      <c r="E25" s="207">
        <v>0</v>
      </c>
      <c r="F25" s="207">
        <v>0</v>
      </c>
      <c r="G25" s="207">
        <v>0</v>
      </c>
      <c r="H25" s="207">
        <v>0</v>
      </c>
      <c r="I25" s="209">
        <f>ROUND((C25*L1_Minute)+(D25*L2_Minute)+((E25+F25)*L3_Minute)+(G25*User_Minute)+H25,2)</f>
        <v>28.06</v>
      </c>
      <c r="J25" s="243"/>
      <c r="K25" s="221"/>
    </row>
    <row r="26" spans="2:11" s="65" customFormat="1" ht="15" customHeight="1">
      <c r="B26" s="318" t="s">
        <v>208</v>
      </c>
      <c r="C26" s="318"/>
      <c r="D26" s="318"/>
      <c r="E26" s="318"/>
      <c r="F26" s="318"/>
      <c r="G26" s="318"/>
      <c r="H26" s="318"/>
      <c r="I26" s="318"/>
      <c r="J26" s="243"/>
      <c r="K26" s="221"/>
    </row>
    <row r="27" spans="2:11" s="65" customFormat="1" ht="15" customHeight="1">
      <c r="B27" s="222" t="s">
        <v>2</v>
      </c>
      <c r="C27" s="207">
        <v>0</v>
      </c>
      <c r="D27" s="207">
        <v>0</v>
      </c>
      <c r="E27" s="207">
        <v>5</v>
      </c>
      <c r="F27" s="207">
        <v>5</v>
      </c>
      <c r="G27" s="207">
        <v>0</v>
      </c>
      <c r="H27" s="207">
        <v>0</v>
      </c>
      <c r="I27" s="209">
        <f>ROUND((C27*L1_Minute)+(D27*L2_Minute)+((E27+F27)*L3_Minute)+(G27*User_Minute)+H27,2)</f>
        <v>12.33</v>
      </c>
      <c r="J27" s="243"/>
      <c r="K27" s="221"/>
    </row>
    <row r="28" spans="2:11" s="65" customFormat="1" ht="15" customHeight="1">
      <c r="B28" s="222" t="s">
        <v>1</v>
      </c>
      <c r="C28" s="207">
        <v>0</v>
      </c>
      <c r="D28" s="207">
        <v>0</v>
      </c>
      <c r="E28" s="207">
        <v>5</v>
      </c>
      <c r="F28" s="207">
        <v>5</v>
      </c>
      <c r="G28" s="207">
        <v>0</v>
      </c>
      <c r="H28" s="207">
        <v>0</v>
      </c>
      <c r="I28" s="209">
        <f>ROUND((C28*L1_Minute)+(D28*L2_Minute)+((E28+F28)*L3_Minute)+(G28*User_Minute)+H28,2)</f>
        <v>12.33</v>
      </c>
      <c r="J28" s="243"/>
      <c r="K28" s="221"/>
    </row>
    <row r="29" spans="2:10" ht="15" customHeight="1">
      <c r="B29" s="318" t="s">
        <v>211</v>
      </c>
      <c r="C29" s="318"/>
      <c r="D29" s="318"/>
      <c r="E29" s="318"/>
      <c r="F29" s="318"/>
      <c r="G29" s="318"/>
      <c r="H29" s="318"/>
      <c r="I29" s="318"/>
      <c r="J29" s="244"/>
    </row>
    <row r="30" spans="2:10" ht="15" customHeight="1">
      <c r="B30" s="222" t="s">
        <v>2</v>
      </c>
      <c r="C30" s="207">
        <v>0</v>
      </c>
      <c r="D30" s="207">
        <v>5</v>
      </c>
      <c r="E30" s="207">
        <v>0</v>
      </c>
      <c r="F30" s="207">
        <v>0</v>
      </c>
      <c r="G30" s="207">
        <v>0</v>
      </c>
      <c r="H30" s="207">
        <v>0</v>
      </c>
      <c r="I30" s="209">
        <f>ROUND((C30*L1_Minute)+(D30*L2_Minute)+((E30+F30)*L3_Minute)+(G30*User_Minute)+H30,2)</f>
        <v>4.68</v>
      </c>
      <c r="J30" s="244"/>
    </row>
    <row r="31" spans="2:10" ht="15" customHeight="1">
      <c r="B31" s="222" t="s">
        <v>1</v>
      </c>
      <c r="C31" s="207">
        <v>0</v>
      </c>
      <c r="D31" s="207">
        <v>5</v>
      </c>
      <c r="E31" s="207">
        <v>0</v>
      </c>
      <c r="F31" s="207">
        <v>0</v>
      </c>
      <c r="G31" s="207">
        <v>0</v>
      </c>
      <c r="H31" s="207">
        <v>0</v>
      </c>
      <c r="I31" s="209">
        <f>ROUND((C31*L1_Minute)+(D31*L2_Minute)+((E31+F31)*L3_Minute)+(G31*User_Minute)+H31,2)</f>
        <v>4.68</v>
      </c>
      <c r="J31" s="244"/>
    </row>
    <row r="32" spans="2:10" ht="15" customHeight="1">
      <c r="B32" s="318" t="s">
        <v>217</v>
      </c>
      <c r="C32" s="318"/>
      <c r="D32" s="318"/>
      <c r="E32" s="318"/>
      <c r="F32" s="318"/>
      <c r="G32" s="318"/>
      <c r="H32" s="318"/>
      <c r="I32" s="318"/>
      <c r="J32" s="244"/>
    </row>
    <row r="33" spans="2:10" ht="15" customHeight="1">
      <c r="B33" s="222" t="s">
        <v>2</v>
      </c>
      <c r="C33" s="207">
        <v>0</v>
      </c>
      <c r="D33" s="207">
        <v>0</v>
      </c>
      <c r="E33" s="207">
        <v>10</v>
      </c>
      <c r="F33" s="207">
        <v>10</v>
      </c>
      <c r="G33" s="207">
        <v>0</v>
      </c>
      <c r="H33" s="207">
        <v>0</v>
      </c>
      <c r="I33" s="209">
        <f>ROUND((C33*L1_Minute)+(D33*L2_Minute)+((E33+F33)*L3_Minute)+(G33*User_Minute)+H33,2)</f>
        <v>24.66</v>
      </c>
      <c r="J33" s="244"/>
    </row>
    <row r="34" spans="2:10" ht="15" customHeight="1">
      <c r="B34" s="222" t="s">
        <v>1</v>
      </c>
      <c r="C34" s="207">
        <v>0</v>
      </c>
      <c r="D34" s="207">
        <v>0</v>
      </c>
      <c r="E34" s="207">
        <v>10</v>
      </c>
      <c r="F34" s="207">
        <v>10</v>
      </c>
      <c r="G34" s="207">
        <v>0</v>
      </c>
      <c r="H34" s="207">
        <v>0</v>
      </c>
      <c r="I34" s="209">
        <f>ROUND((C34*L1_Minute)+(D34*L2_Minute)+((E34+F34)*L3_Minute)+(G34*User_Minute)+H34,2)</f>
        <v>24.66</v>
      </c>
      <c r="J34" s="244"/>
    </row>
    <row r="35" spans="2:10" ht="15" customHeight="1">
      <c r="B35" s="318" t="s">
        <v>218</v>
      </c>
      <c r="C35" s="318"/>
      <c r="D35" s="318"/>
      <c r="E35" s="318"/>
      <c r="F35" s="318"/>
      <c r="G35" s="318"/>
      <c r="H35" s="318"/>
      <c r="I35" s="318"/>
      <c r="J35" s="244"/>
    </row>
    <row r="36" spans="2:10" ht="15" customHeight="1">
      <c r="B36" s="222" t="s">
        <v>2</v>
      </c>
      <c r="C36" s="207">
        <v>0</v>
      </c>
      <c r="D36" s="207">
        <v>5</v>
      </c>
      <c r="E36" s="207">
        <v>0</v>
      </c>
      <c r="F36" s="207">
        <v>0</v>
      </c>
      <c r="G36" s="207">
        <v>10</v>
      </c>
      <c r="H36" s="207">
        <v>0</v>
      </c>
      <c r="I36" s="209">
        <f>ROUND((C36*L1_Minute)+(D36*L2_Minute)+((E36+F36)*L3_Minute)+(G36*User_Minute)+H36,2)</f>
        <v>11.48</v>
      </c>
      <c r="J36" s="244"/>
    </row>
    <row r="37" spans="2:10" ht="15" customHeight="1">
      <c r="B37" s="222" t="s">
        <v>1</v>
      </c>
      <c r="C37" s="207">
        <v>0</v>
      </c>
      <c r="D37" s="207">
        <v>5</v>
      </c>
      <c r="E37" s="207">
        <v>0</v>
      </c>
      <c r="F37" s="207">
        <v>0</v>
      </c>
      <c r="G37" s="207">
        <v>10</v>
      </c>
      <c r="H37" s="207">
        <v>0</v>
      </c>
      <c r="I37" s="209">
        <f>ROUND((C37*L1_Minute)+(D37*L2_Minute)+((E37+F37)*L3_Minute)+(G37*User_Minute)+H37,2)</f>
        <v>11.48</v>
      </c>
      <c r="J37" s="244"/>
    </row>
    <row r="39" spans="2:6" ht="15" customHeight="1">
      <c r="B39" s="307" t="s">
        <v>219</v>
      </c>
      <c r="C39" s="308"/>
      <c r="D39" s="308"/>
      <c r="E39" s="308"/>
      <c r="F39" s="308"/>
    </row>
    <row r="40" spans="2:9" s="141" customFormat="1" ht="15" customHeight="1">
      <c r="B40" s="315"/>
      <c r="C40" s="304" t="s">
        <v>118</v>
      </c>
      <c r="D40" s="305"/>
      <c r="E40" s="304" t="str">
        <f>"Annual cost for all "&amp;TEXT(NumClients,"0,000")&amp;" clients"</f>
        <v>Annual cost for all 8,000 clients</v>
      </c>
      <c r="F40" s="306"/>
      <c r="I40" s="245"/>
    </row>
    <row r="41" spans="2:6" ht="42" customHeight="1">
      <c r="B41" s="316"/>
      <c r="C41" s="106" t="s">
        <v>129</v>
      </c>
      <c r="D41" s="90" t="s">
        <v>1</v>
      </c>
      <c r="E41" s="106" t="s">
        <v>129</v>
      </c>
      <c r="F41" s="90" t="s">
        <v>1</v>
      </c>
    </row>
    <row r="42" spans="2:7" ht="15" customHeight="1">
      <c r="B42" s="107" t="s">
        <v>207</v>
      </c>
      <c r="C42" s="224">
        <f aca="true" t="shared" si="0" ref="C42:C47">ROUND(E42/NumClients,2)</f>
        <v>0.12</v>
      </c>
      <c r="D42" s="224">
        <f aca="true" t="shared" si="1" ref="D42:D47">ROUND(F42/NumClients,2)</f>
        <v>0.12</v>
      </c>
      <c r="E42" s="224">
        <f>ROUND(NumComplianceAudits*I24,2)</f>
        <v>982.1</v>
      </c>
      <c r="F42" s="224">
        <f>ROUND(NumComplianceAudits*I25,2)</f>
        <v>982.1</v>
      </c>
      <c r="G42" s="246"/>
    </row>
    <row r="43" spans="2:7" ht="15" customHeight="1">
      <c r="B43" s="107" t="s">
        <v>208</v>
      </c>
      <c r="C43" s="224">
        <f t="shared" si="0"/>
        <v>8.63</v>
      </c>
      <c r="D43" s="224">
        <f t="shared" si="1"/>
        <v>8.63</v>
      </c>
      <c r="E43" s="224">
        <f>ROUND(NumComplianceAudits*E14*I27,2)</f>
        <v>69048</v>
      </c>
      <c r="F43" s="224">
        <f>ROUND(NumComplianceAudits*F14*I28,2)</f>
        <v>69048</v>
      </c>
      <c r="G43" s="105"/>
    </row>
    <row r="44" spans="2:7" ht="15" customHeight="1">
      <c r="B44" s="107" t="s">
        <v>211</v>
      </c>
      <c r="C44" s="224">
        <f t="shared" si="0"/>
        <v>2.95</v>
      </c>
      <c r="D44" s="224">
        <f t="shared" si="1"/>
        <v>1.47</v>
      </c>
      <c r="E44" s="224">
        <f>ROUND(NumComplianceAudits*E16*I30,2)</f>
        <v>23587.2</v>
      </c>
      <c r="F44" s="224">
        <f>ROUND(NumComplianceAudits*F16*I31,2)</f>
        <v>11793.6</v>
      </c>
      <c r="G44" s="105"/>
    </row>
    <row r="45" spans="2:7" ht="24.75" customHeight="1">
      <c r="B45" s="107" t="s">
        <v>212</v>
      </c>
      <c r="C45" s="224">
        <f t="shared" si="0"/>
        <v>0.86</v>
      </c>
      <c r="D45" s="224">
        <f t="shared" si="1"/>
        <v>0.2</v>
      </c>
      <c r="E45" s="224">
        <f>ROUND(NumComplianceAudits*E17*I33,2)</f>
        <v>6904.8</v>
      </c>
      <c r="F45" s="224">
        <f>ROUND(NumComplianceAudits*F17*I37,2)</f>
        <v>1607.2</v>
      </c>
      <c r="G45" s="247"/>
    </row>
    <row r="46" spans="2:7" ht="26.25" customHeight="1">
      <c r="B46" s="107" t="s">
        <v>213</v>
      </c>
      <c r="C46" s="224">
        <f t="shared" si="0"/>
        <v>0.4</v>
      </c>
      <c r="D46" s="224">
        <f t="shared" si="1"/>
        <v>0.2</v>
      </c>
      <c r="E46" s="224">
        <f>ROUND(NumComplianceAudits*E18*I36,2)</f>
        <v>3214.4</v>
      </c>
      <c r="F46" s="224">
        <f>ROUND(NumComplianceAudits*F18*I37,2)</f>
        <v>1607.2</v>
      </c>
      <c r="G46" s="247"/>
    </row>
    <row r="47" spans="2:7" ht="15" customHeight="1">
      <c r="B47" s="225" t="s">
        <v>274</v>
      </c>
      <c r="C47" s="224">
        <f t="shared" si="0"/>
        <v>12.97</v>
      </c>
      <c r="D47" s="224">
        <f t="shared" si="1"/>
        <v>10.63</v>
      </c>
      <c r="E47" s="224">
        <f>SUM(E42:E46)</f>
        <v>103736.5</v>
      </c>
      <c r="F47" s="224">
        <f>SUM(F42:F46)</f>
        <v>85038.1</v>
      </c>
      <c r="G47" s="247"/>
    </row>
    <row r="55" ht="15" customHeight="1">
      <c r="B55" s="248"/>
    </row>
    <row r="56" ht="15" customHeight="1">
      <c r="B56" s="248"/>
    </row>
  </sheetData>
  <sheetProtection sheet="1" objects="1" scenarios="1"/>
  <mergeCells count="22">
    <mergeCell ref="B12:F12"/>
    <mergeCell ref="B15:F15"/>
    <mergeCell ref="B9:F9"/>
    <mergeCell ref="B40:B41"/>
    <mergeCell ref="B29:I29"/>
    <mergeCell ref="B32:I32"/>
    <mergeCell ref="B35:I35"/>
    <mergeCell ref="B23:I23"/>
    <mergeCell ref="B26:I26"/>
    <mergeCell ref="C40:D40"/>
    <mergeCell ref="C10:D10"/>
    <mergeCell ref="E10:F10"/>
    <mergeCell ref="E40:F40"/>
    <mergeCell ref="B39:F39"/>
    <mergeCell ref="B1:I1"/>
    <mergeCell ref="B3:C3"/>
    <mergeCell ref="E3:I3"/>
    <mergeCell ref="E4:H4"/>
    <mergeCell ref="E5:H5"/>
    <mergeCell ref="E6:H6"/>
    <mergeCell ref="B21:I21"/>
    <mergeCell ref="B10:B11"/>
  </mergeCells>
  <hyperlinks>
    <hyperlink ref="I6" location="Questionnaire!A1" display="Questionnaire"/>
    <hyperlink ref="I5" location="Summary!A1" display="Summary"/>
  </hyperlinks>
  <printOptions/>
  <pageMargins left="0.3" right="0.3" top="0.3" bottom="0.3" header="0" footer="0"/>
  <pageSetup fitToHeight="9" horizontalDpi="600" verticalDpi="600" orientation="landscape" scale="95" r:id="rId4"/>
  <rowBreaks count="2" manualBreakCount="2">
    <brk id="20" max="255" man="1"/>
    <brk id="54" max="255" man="1"/>
  </rowBreaks>
  <drawing r:id="rId3"/>
  <legacyDrawing r:id="rId2"/>
</worksheet>
</file>

<file path=xl/worksheets/sheet9.xml><?xml version="1.0" encoding="utf-8"?>
<worksheet xmlns="http://schemas.openxmlformats.org/spreadsheetml/2006/main" xmlns:r="http://schemas.openxmlformats.org/officeDocument/2006/relationships">
  <sheetPr codeName="Sheet7">
    <tabColor theme="4"/>
  </sheetPr>
  <dimension ref="A1:L65"/>
  <sheetViews>
    <sheetView zoomScaleSheetLayoutView="100" zoomScalePageLayoutView="0" workbookViewId="0" topLeftCell="A1">
      <pane ySplit="7" topLeftCell="BM8" activePane="bottomLeft" state="frozen"/>
      <selection pane="topLeft" activeCell="A1" sqref="A1"/>
      <selection pane="bottomLeft" activeCell="A1" sqref="A1"/>
    </sheetView>
  </sheetViews>
  <sheetFormatPr defaultColWidth="9.140625" defaultRowHeight="15" customHeight="1"/>
  <cols>
    <col min="1" max="1" width="1.7109375" style="127" customWidth="1"/>
    <col min="2" max="2" width="30.57421875" style="127" customWidth="1"/>
    <col min="3" max="3" width="11.7109375" style="127" customWidth="1"/>
    <col min="4" max="6" width="12.00390625" style="127" customWidth="1"/>
    <col min="7" max="7" width="10.57421875" style="127" customWidth="1"/>
    <col min="8" max="8" width="12.00390625" style="127" bestFit="1" customWidth="1"/>
    <col min="9" max="9" width="12.421875" style="127" customWidth="1"/>
    <col min="10" max="10" width="12.00390625" style="127" customWidth="1"/>
    <col min="11" max="11" width="4.140625" style="127" customWidth="1"/>
    <col min="12" max="16384" width="9.140625" style="127" customWidth="1"/>
  </cols>
  <sheetData>
    <row r="1" spans="1:9" ht="27.75" customHeight="1">
      <c r="A1" s="62"/>
      <c r="B1" s="287" t="s">
        <v>158</v>
      </c>
      <c r="C1" s="287"/>
      <c r="D1" s="287"/>
      <c r="E1" s="287"/>
      <c r="F1" s="287"/>
      <c r="G1" s="287"/>
      <c r="H1" s="287"/>
      <c r="I1" s="287"/>
    </row>
    <row r="2" ht="7.5" customHeight="1"/>
    <row r="3" spans="2:9" ht="27.75" customHeight="1">
      <c r="B3" s="326" t="s">
        <v>167</v>
      </c>
      <c r="C3" s="320"/>
      <c r="E3" s="262" t="s">
        <v>68</v>
      </c>
      <c r="F3" s="262"/>
      <c r="G3" s="262"/>
      <c r="H3" s="262"/>
      <c r="I3" s="262"/>
    </row>
    <row r="4" spans="2:9" s="65" customFormat="1" ht="15.75" customHeight="1">
      <c r="B4" s="90" t="s">
        <v>2</v>
      </c>
      <c r="C4" s="128">
        <f>C65</f>
        <v>25.31</v>
      </c>
      <c r="E4" s="309" t="s">
        <v>117</v>
      </c>
      <c r="F4" s="309"/>
      <c r="G4" s="309"/>
      <c r="H4" s="309"/>
      <c r="I4" s="129" t="s">
        <v>69</v>
      </c>
    </row>
    <row r="5" spans="2:9" s="65" customFormat="1" ht="17.25" customHeight="1">
      <c r="B5" s="90" t="s">
        <v>1</v>
      </c>
      <c r="C5" s="128">
        <f>D65</f>
        <v>14.7</v>
      </c>
      <c r="E5" s="311" t="s">
        <v>74</v>
      </c>
      <c r="F5" s="311"/>
      <c r="G5" s="311"/>
      <c r="H5" s="311"/>
      <c r="I5" s="130" t="s">
        <v>88</v>
      </c>
    </row>
    <row r="6" spans="5:9" s="65" customFormat="1" ht="15.75" customHeight="1">
      <c r="E6" s="311" t="s">
        <v>75</v>
      </c>
      <c r="F6" s="311"/>
      <c r="G6" s="311"/>
      <c r="H6" s="311"/>
      <c r="I6" s="131" t="s">
        <v>295</v>
      </c>
    </row>
    <row r="7" ht="6.75" customHeight="1"/>
    <row r="8" ht="16.5" customHeight="1"/>
    <row r="9" spans="2:8" s="65" customFormat="1" ht="24.75" customHeight="1">
      <c r="B9" s="283" t="s">
        <v>186</v>
      </c>
      <c r="C9" s="284"/>
      <c r="D9" s="284"/>
      <c r="E9" s="284"/>
      <c r="F9" s="284"/>
      <c r="H9" s="137"/>
    </row>
    <row r="10" spans="2:10" s="65" customFormat="1" ht="39" customHeight="1">
      <c r="B10" s="122"/>
      <c r="C10" s="106" t="s">
        <v>129</v>
      </c>
      <c r="D10" s="90" t="s">
        <v>1</v>
      </c>
      <c r="E10" s="106" t="s">
        <v>129</v>
      </c>
      <c r="F10" s="90" t="s">
        <v>1</v>
      </c>
      <c r="G10" s="137"/>
      <c r="H10" s="137"/>
      <c r="I10" s="137"/>
      <c r="J10" s="133"/>
    </row>
    <row r="11" spans="2:7" s="65" customFormat="1" ht="12">
      <c r="B11" s="344" t="s">
        <v>183</v>
      </c>
      <c r="C11" s="345"/>
      <c r="D11" s="345"/>
      <c r="E11" s="345"/>
      <c r="F11" s="346"/>
      <c r="G11" s="137"/>
    </row>
    <row r="12" spans="2:10" s="65" customFormat="1" ht="14.25" customHeight="1">
      <c r="B12" s="122"/>
      <c r="C12" s="342" t="s">
        <v>264</v>
      </c>
      <c r="D12" s="343"/>
      <c r="E12" s="342" t="s">
        <v>187</v>
      </c>
      <c r="F12" s="343"/>
      <c r="G12" s="70">
        <v>1</v>
      </c>
      <c r="J12" s="67"/>
    </row>
    <row r="13" spans="2:7" s="65" customFormat="1" ht="24.75" customHeight="1">
      <c r="B13" s="107" t="s">
        <v>182</v>
      </c>
      <c r="C13" s="71">
        <v>0.8</v>
      </c>
      <c r="D13" s="71">
        <v>0.2</v>
      </c>
      <c r="E13" s="249">
        <f>ROUND(Questionnaire!C76*C13,1)</f>
        <v>8.8</v>
      </c>
      <c r="F13" s="249">
        <f>ROUND(Questionnaire!D76*D13,1)</f>
        <v>2.2</v>
      </c>
      <c r="G13" s="70">
        <v>2</v>
      </c>
    </row>
    <row r="14" spans="2:7" s="65" customFormat="1" ht="24.75" customHeight="1">
      <c r="B14" s="107" t="s">
        <v>180</v>
      </c>
      <c r="C14" s="109">
        <f>100%-C13</f>
        <v>0.19999999999999996</v>
      </c>
      <c r="D14" s="109">
        <f>100%-D13</f>
        <v>0.8</v>
      </c>
      <c r="E14" s="249">
        <f>ROUND(Questionnaire!C76-E13,1)</f>
        <v>2.2</v>
      </c>
      <c r="F14" s="249">
        <f>ROUND(Questionnaire!D76-F13,1)</f>
        <v>8.8</v>
      </c>
      <c r="G14" s="243"/>
    </row>
    <row r="15" spans="2:6" s="65" customFormat="1" ht="12">
      <c r="B15" s="344" t="s">
        <v>184</v>
      </c>
      <c r="C15" s="345"/>
      <c r="D15" s="345"/>
      <c r="E15" s="345"/>
      <c r="F15" s="346"/>
    </row>
    <row r="16" spans="2:7" s="65" customFormat="1" ht="24.75" customHeight="1">
      <c r="B16" s="122"/>
      <c r="C16" s="342" t="s">
        <v>275</v>
      </c>
      <c r="D16" s="343"/>
      <c r="E16" s="342" t="s">
        <v>187</v>
      </c>
      <c r="F16" s="343"/>
      <c r="G16" s="243"/>
    </row>
    <row r="17" spans="2:6" s="65" customFormat="1" ht="25.5" customHeight="1">
      <c r="B17" s="107" t="s">
        <v>177</v>
      </c>
      <c r="C17" s="71">
        <v>0.5</v>
      </c>
      <c r="D17" s="71">
        <v>0.5</v>
      </c>
      <c r="E17" s="250">
        <f>ROUND(E13*C17,1)</f>
        <v>4.4</v>
      </c>
      <c r="F17" s="250">
        <f>ROUND(F13*D17,1)</f>
        <v>1.1</v>
      </c>
    </row>
    <row r="18" spans="2:6" s="65" customFormat="1" ht="25.5" customHeight="1">
      <c r="B18" s="107" t="s">
        <v>178</v>
      </c>
      <c r="C18" s="71">
        <v>0.45</v>
      </c>
      <c r="D18" s="71">
        <v>0.45</v>
      </c>
      <c r="E18" s="249">
        <f>ROUND(E13*C18,1)</f>
        <v>4</v>
      </c>
      <c r="F18" s="249">
        <f>ROUND(F13*D18,1)</f>
        <v>1</v>
      </c>
    </row>
    <row r="19" spans="2:7" s="65" customFormat="1" ht="24">
      <c r="B19" s="107" t="s">
        <v>179</v>
      </c>
      <c r="C19" s="71">
        <v>0.05</v>
      </c>
      <c r="D19" s="71">
        <v>0.05</v>
      </c>
      <c r="E19" s="249">
        <f>ROUND(E13*C19,1)</f>
        <v>0.4</v>
      </c>
      <c r="F19" s="249">
        <f>ROUND(F13*D19,1)</f>
        <v>0.1</v>
      </c>
      <c r="G19" s="137"/>
    </row>
    <row r="20" spans="2:7" s="92" customFormat="1" ht="16.5" customHeight="1">
      <c r="B20" s="251" t="s">
        <v>8</v>
      </c>
      <c r="C20" s="252">
        <f>SUM(C17:C19)</f>
        <v>1</v>
      </c>
      <c r="D20" s="252">
        <f>SUM(D17:D19)</f>
        <v>1</v>
      </c>
      <c r="E20" s="253">
        <f>SUM(E17:E19)</f>
        <v>8.8</v>
      </c>
      <c r="F20" s="253">
        <f>SUM(F17:F19)</f>
        <v>2.2</v>
      </c>
      <c r="G20" s="183"/>
    </row>
    <row r="21" spans="2:7" s="65" customFormat="1" ht="12">
      <c r="B21" s="344" t="s">
        <v>181</v>
      </c>
      <c r="C21" s="345"/>
      <c r="D21" s="345"/>
      <c r="E21" s="345"/>
      <c r="F21" s="346"/>
      <c r="G21" s="137"/>
    </row>
    <row r="22" spans="2:7" s="65" customFormat="1" ht="25.5" customHeight="1">
      <c r="B22" s="122"/>
      <c r="C22" s="342" t="s">
        <v>265</v>
      </c>
      <c r="D22" s="343"/>
      <c r="E22" s="342" t="s">
        <v>189</v>
      </c>
      <c r="F22" s="343"/>
      <c r="G22" s="243"/>
    </row>
    <row r="23" spans="2:7" s="65" customFormat="1" ht="25.5" customHeight="1">
      <c r="B23" s="107" t="s">
        <v>190</v>
      </c>
      <c r="C23" s="71">
        <v>0.11</v>
      </c>
      <c r="D23" s="71">
        <v>0.05</v>
      </c>
      <c r="E23" s="254">
        <f>ROUND(C23*NumClients*E18,1)</f>
        <v>3520</v>
      </c>
      <c r="F23" s="254">
        <f>ROUND(D23*NumClients*F18,1)</f>
        <v>400</v>
      </c>
      <c r="G23" s="137"/>
    </row>
    <row r="24" spans="2:7" s="65" customFormat="1" ht="25.5" customHeight="1">
      <c r="B24" s="107" t="s">
        <v>191</v>
      </c>
      <c r="C24" s="71">
        <v>0.2</v>
      </c>
      <c r="D24" s="71">
        <v>0.07</v>
      </c>
      <c r="E24" s="254">
        <f>ROUND(C24*NumClients*E19,1)</f>
        <v>640</v>
      </c>
      <c r="F24" s="254">
        <f>ROUND(D24*NumClients*F19,1)</f>
        <v>56</v>
      </c>
      <c r="G24" s="137"/>
    </row>
    <row r="25" spans="2:7" s="65" customFormat="1" ht="25.5" customHeight="1">
      <c r="B25" s="255" t="s">
        <v>192</v>
      </c>
      <c r="C25" s="255"/>
      <c r="D25" s="255"/>
      <c r="E25" s="256">
        <f>SUM(E22:E24)</f>
        <v>4160</v>
      </c>
      <c r="F25" s="256">
        <f>SUM(F22:F24)</f>
        <v>456</v>
      </c>
      <c r="G25" s="137"/>
    </row>
    <row r="26" spans="2:7" s="65" customFormat="1" ht="12">
      <c r="B26" s="344" t="s">
        <v>200</v>
      </c>
      <c r="C26" s="345"/>
      <c r="D26" s="345"/>
      <c r="E26" s="345"/>
      <c r="F26" s="346"/>
      <c r="G26" s="137"/>
    </row>
    <row r="27" spans="2:7" s="65" customFormat="1" ht="25.5" customHeight="1">
      <c r="B27" s="122"/>
      <c r="C27" s="342" t="s">
        <v>265</v>
      </c>
      <c r="D27" s="343"/>
      <c r="E27" s="342" t="s">
        <v>201</v>
      </c>
      <c r="F27" s="343"/>
      <c r="G27" s="243"/>
    </row>
    <row r="28" spans="2:7" s="65" customFormat="1" ht="24">
      <c r="B28" s="107" t="s">
        <v>193</v>
      </c>
      <c r="C28" s="71">
        <v>0.05</v>
      </c>
      <c r="D28" s="71">
        <v>0.4</v>
      </c>
      <c r="E28" s="254">
        <f>ROUND(C28*NumClients*E14,1)</f>
        <v>880</v>
      </c>
      <c r="F28" s="254">
        <f>ROUND(D28*NumClients*F14,1)</f>
        <v>28160</v>
      </c>
      <c r="G28" s="137"/>
    </row>
    <row r="29" spans="2:9" ht="15" customHeight="1">
      <c r="B29" s="92"/>
      <c r="C29" s="117"/>
      <c r="D29" s="92"/>
      <c r="E29" s="117"/>
      <c r="I29" s="117"/>
    </row>
    <row r="30" spans="2:9" ht="15" customHeight="1">
      <c r="B30" s="283" t="s">
        <v>185</v>
      </c>
      <c r="C30" s="284"/>
      <c r="D30" s="284"/>
      <c r="E30" s="284"/>
      <c r="F30" s="284"/>
      <c r="G30" s="65"/>
      <c r="H30" s="92"/>
      <c r="I30" s="117"/>
    </row>
    <row r="31" spans="2:9" s="65" customFormat="1" ht="27.75" customHeight="1">
      <c r="B31" s="257"/>
      <c r="C31" s="340" t="s">
        <v>298</v>
      </c>
      <c r="D31" s="341"/>
      <c r="E31" s="340" t="s">
        <v>188</v>
      </c>
      <c r="F31" s="341"/>
      <c r="H31" s="92"/>
      <c r="I31" s="137"/>
    </row>
    <row r="32" spans="2:9" s="92" customFormat="1" ht="39" customHeight="1">
      <c r="B32" s="196"/>
      <c r="C32" s="106" t="s">
        <v>129</v>
      </c>
      <c r="D32" s="90" t="s">
        <v>1</v>
      </c>
      <c r="E32" s="106" t="s">
        <v>129</v>
      </c>
      <c r="F32" s="90" t="s">
        <v>1</v>
      </c>
      <c r="G32" s="183"/>
      <c r="I32" s="133"/>
    </row>
    <row r="33" spans="2:9" s="65" customFormat="1" ht="24">
      <c r="B33" s="107" t="s">
        <v>290</v>
      </c>
      <c r="C33" s="197">
        <v>0.8</v>
      </c>
      <c r="D33" s="197">
        <v>0.8</v>
      </c>
      <c r="E33" s="198">
        <f>ROUND(C33*$E$25,1)</f>
        <v>3328</v>
      </c>
      <c r="F33" s="198">
        <f>ROUND(D33*$F$25,1)</f>
        <v>364.8</v>
      </c>
      <c r="G33" s="70">
        <v>1</v>
      </c>
      <c r="H33" s="67"/>
      <c r="I33" s="67"/>
    </row>
    <row r="34" spans="2:9" s="65" customFormat="1" ht="24">
      <c r="B34" s="107" t="s">
        <v>291</v>
      </c>
      <c r="C34" s="197">
        <v>0.05</v>
      </c>
      <c r="D34" s="197">
        <v>0.05</v>
      </c>
      <c r="E34" s="198">
        <f>ROUND(C34*$E$25,1)</f>
        <v>208</v>
      </c>
      <c r="F34" s="198">
        <f>ROUND(D34*$F$25,1)</f>
        <v>22.8</v>
      </c>
      <c r="G34" s="243"/>
      <c r="I34" s="133"/>
    </row>
    <row r="35" spans="2:7" s="65" customFormat="1" ht="24">
      <c r="B35" s="107" t="s">
        <v>233</v>
      </c>
      <c r="C35" s="197">
        <v>0.15</v>
      </c>
      <c r="D35" s="197">
        <v>0.15</v>
      </c>
      <c r="E35" s="198">
        <f>ROUND(C35*$E$25,1)</f>
        <v>624</v>
      </c>
      <c r="F35" s="198">
        <f>ROUND(D35*$F$25,1)</f>
        <v>68.4</v>
      </c>
      <c r="G35" s="243"/>
    </row>
    <row r="36" spans="2:7" s="65" customFormat="1" ht="36">
      <c r="B36" s="107" t="s">
        <v>36</v>
      </c>
      <c r="C36" s="197">
        <v>0</v>
      </c>
      <c r="D36" s="197">
        <v>0</v>
      </c>
      <c r="E36" s="198">
        <f>ROUND(C36*$E$25,1)</f>
        <v>0</v>
      </c>
      <c r="F36" s="198">
        <f>ROUND(D36*$F$25,1)</f>
        <v>0</v>
      </c>
      <c r="G36" s="243"/>
    </row>
    <row r="37" spans="2:7" s="65" customFormat="1" ht="24.75" customHeight="1">
      <c r="B37" s="159" t="s">
        <v>299</v>
      </c>
      <c r="C37" s="200">
        <f>SUM(C33:C36)</f>
        <v>1</v>
      </c>
      <c r="D37" s="200">
        <f>SUM(D33:D36)</f>
        <v>1</v>
      </c>
      <c r="E37" s="198">
        <f>SUM(E33:E36)</f>
        <v>4160</v>
      </c>
      <c r="F37" s="198">
        <f>SUM(F33:F36)</f>
        <v>456</v>
      </c>
      <c r="G37" s="243"/>
    </row>
    <row r="38" spans="2:9" ht="15">
      <c r="B38" s="117"/>
      <c r="C38" s="117"/>
      <c r="D38" s="117"/>
      <c r="E38" s="117"/>
      <c r="F38" s="117"/>
      <c r="G38" s="117"/>
      <c r="H38" s="117"/>
      <c r="I38" s="117"/>
    </row>
    <row r="39" spans="2:10" ht="15" customHeight="1">
      <c r="B39" s="317" t="s">
        <v>194</v>
      </c>
      <c r="C39" s="317"/>
      <c r="D39" s="317"/>
      <c r="E39" s="317"/>
      <c r="F39" s="317"/>
      <c r="G39" s="317"/>
      <c r="H39" s="317"/>
      <c r="I39" s="317"/>
      <c r="J39" s="317"/>
    </row>
    <row r="40" spans="2:10" s="206" customFormat="1" ht="89.25" customHeight="1">
      <c r="B40" s="196"/>
      <c r="C40" s="106" t="s">
        <v>288</v>
      </c>
      <c r="D40" s="106" t="s">
        <v>289</v>
      </c>
      <c r="E40" s="205" t="s">
        <v>147</v>
      </c>
      <c r="F40" s="205" t="s">
        <v>124</v>
      </c>
      <c r="G40" s="205" t="s">
        <v>92</v>
      </c>
      <c r="H40" s="205" t="s">
        <v>29</v>
      </c>
      <c r="I40" s="205" t="s">
        <v>96</v>
      </c>
      <c r="J40" s="205" t="s">
        <v>31</v>
      </c>
    </row>
    <row r="41" spans="2:12" ht="15" customHeight="1">
      <c r="B41" s="327" t="s">
        <v>290</v>
      </c>
      <c r="C41" s="327"/>
      <c r="D41" s="327"/>
      <c r="E41" s="327"/>
      <c r="F41" s="327"/>
      <c r="G41" s="327"/>
      <c r="H41" s="327"/>
      <c r="I41" s="327"/>
      <c r="J41" s="327"/>
      <c r="K41" s="70">
        <v>1</v>
      </c>
      <c r="L41" s="67"/>
    </row>
    <row r="42" spans="2:10" ht="15" customHeight="1">
      <c r="B42" s="199" t="s">
        <v>2</v>
      </c>
      <c r="C42" s="207">
        <v>10</v>
      </c>
      <c r="D42" s="207">
        <v>0</v>
      </c>
      <c r="E42" s="207">
        <v>0</v>
      </c>
      <c r="F42" s="207">
        <v>0</v>
      </c>
      <c r="G42" s="207"/>
      <c r="H42" s="207">
        <v>15</v>
      </c>
      <c r="I42" s="208">
        <v>0</v>
      </c>
      <c r="J42" s="258">
        <f>ROUND((C42*L1_Minute)+((D42+G42)*L2_Minute)+((E42+F42)*L3_Minute)+(H42*User_Minute)+I42,2)</f>
        <v>17</v>
      </c>
    </row>
    <row r="43" spans="2:10" ht="24">
      <c r="B43" s="199" t="s">
        <v>1</v>
      </c>
      <c r="C43" s="207">
        <v>10</v>
      </c>
      <c r="D43" s="207">
        <v>0</v>
      </c>
      <c r="E43" s="207">
        <v>0</v>
      </c>
      <c r="F43" s="207">
        <v>0</v>
      </c>
      <c r="G43" s="207"/>
      <c r="H43" s="207">
        <v>15</v>
      </c>
      <c r="I43" s="208">
        <v>0</v>
      </c>
      <c r="J43" s="258">
        <f>ROUND((C43*L1_Minute)+((D43+G43)*L2_Minute)+((E43+F43)*L3_Minute)+(H43*User_Minute)+I43,2)</f>
        <v>17</v>
      </c>
    </row>
    <row r="44" spans="2:11" ht="15" customHeight="1">
      <c r="B44" s="327" t="s">
        <v>291</v>
      </c>
      <c r="C44" s="327"/>
      <c r="D44" s="327"/>
      <c r="E44" s="327"/>
      <c r="F44" s="327"/>
      <c r="G44" s="327"/>
      <c r="H44" s="327"/>
      <c r="I44" s="327"/>
      <c r="J44" s="327"/>
      <c r="K44" s="243"/>
    </row>
    <row r="45" spans="2:10" ht="24.75" customHeight="1">
      <c r="B45" s="199" t="s">
        <v>2</v>
      </c>
      <c r="C45" s="207">
        <v>15</v>
      </c>
      <c r="D45" s="207">
        <v>15</v>
      </c>
      <c r="E45" s="207">
        <v>0</v>
      </c>
      <c r="F45" s="207">
        <v>0</v>
      </c>
      <c r="G45" s="207"/>
      <c r="H45" s="207">
        <v>35</v>
      </c>
      <c r="I45" s="208">
        <v>0</v>
      </c>
      <c r="J45" s="258">
        <f>ROUND((C45*L1_Minute)+((D45+G45)*L2_Minute)+((E45+F45)*L3_Minute)+(H45*User_Minute)+I45,2)</f>
        <v>48.04</v>
      </c>
    </row>
    <row r="46" spans="2:10" ht="24">
      <c r="B46" s="199" t="s">
        <v>1</v>
      </c>
      <c r="C46" s="207">
        <v>15</v>
      </c>
      <c r="D46" s="207">
        <v>15</v>
      </c>
      <c r="E46" s="207">
        <v>0</v>
      </c>
      <c r="F46" s="207">
        <v>0</v>
      </c>
      <c r="G46" s="207"/>
      <c r="H46" s="207">
        <v>35</v>
      </c>
      <c r="I46" s="208">
        <v>0</v>
      </c>
      <c r="J46" s="258">
        <f>ROUND((C46*L1_Minute)+((D46+G46)*L2_Minute)+((E46+F46)*L3_Minute)+(H46*User_Minute)+I46,2)</f>
        <v>48.04</v>
      </c>
    </row>
    <row r="47" spans="2:11" ht="15" customHeight="1">
      <c r="B47" s="327" t="s">
        <v>233</v>
      </c>
      <c r="C47" s="327"/>
      <c r="D47" s="327"/>
      <c r="E47" s="327"/>
      <c r="F47" s="327"/>
      <c r="G47" s="327"/>
      <c r="H47" s="327"/>
      <c r="I47" s="327"/>
      <c r="J47" s="327"/>
      <c r="K47" s="243"/>
    </row>
    <row r="48" spans="2:10" ht="15" customHeight="1">
      <c r="B48" s="199" t="s">
        <v>2</v>
      </c>
      <c r="C48" s="207">
        <v>5</v>
      </c>
      <c r="D48" s="207">
        <v>5</v>
      </c>
      <c r="E48" s="207">
        <v>90</v>
      </c>
      <c r="F48" s="207">
        <v>10</v>
      </c>
      <c r="G48" s="207"/>
      <c r="H48" s="207">
        <v>120</v>
      </c>
      <c r="I48" s="208">
        <v>0</v>
      </c>
      <c r="J48" s="258">
        <f>ROUND((C48*L1_Minute)+((D48+G48)*L2_Minute)+((E48+F48)*L3_Minute)+(H48*User_Minute)+I48,2)</f>
        <v>212.98</v>
      </c>
    </row>
    <row r="49" spans="2:10" ht="24">
      <c r="B49" s="199" t="s">
        <v>1</v>
      </c>
      <c r="C49" s="207">
        <v>5</v>
      </c>
      <c r="D49" s="207">
        <v>5</v>
      </c>
      <c r="E49" s="207">
        <v>90</v>
      </c>
      <c r="F49" s="207">
        <v>10</v>
      </c>
      <c r="G49" s="207"/>
      <c r="H49" s="207">
        <v>120</v>
      </c>
      <c r="I49" s="208">
        <v>0</v>
      </c>
      <c r="J49" s="258">
        <f>ROUND((C49*L1_Minute)+((D49+G49)*L2_Minute)+((E49+F49)*L3_Minute)+(H49*User_Minute)+I49,2)</f>
        <v>212.98</v>
      </c>
    </row>
    <row r="50" spans="2:11" ht="15" customHeight="1">
      <c r="B50" s="327" t="s">
        <v>36</v>
      </c>
      <c r="C50" s="327"/>
      <c r="D50" s="327"/>
      <c r="E50" s="327"/>
      <c r="F50" s="327"/>
      <c r="G50" s="327"/>
      <c r="H50" s="327"/>
      <c r="I50" s="327"/>
      <c r="J50" s="327"/>
      <c r="K50" s="243"/>
    </row>
    <row r="51" spans="2:10" ht="15" customHeight="1">
      <c r="B51" s="199" t="s">
        <v>2</v>
      </c>
      <c r="C51" s="207">
        <v>15</v>
      </c>
      <c r="D51" s="210">
        <v>0</v>
      </c>
      <c r="E51" s="207">
        <v>0</v>
      </c>
      <c r="F51" s="207">
        <v>0</v>
      </c>
      <c r="G51" s="210">
        <v>0</v>
      </c>
      <c r="H51" s="207">
        <v>120</v>
      </c>
      <c r="I51" s="208">
        <v>90</v>
      </c>
      <c r="J51" s="258">
        <f>ROUND((C51*L1_Minute)+((D51+G51)*L2_Minute)+((E51+F51)*L3_Minute)+(H51*User_Minute)+I51,2)</f>
        <v>181.8</v>
      </c>
    </row>
    <row r="52" spans="2:10" ht="24">
      <c r="B52" s="211" t="s">
        <v>1</v>
      </c>
      <c r="C52" s="207">
        <v>15</v>
      </c>
      <c r="D52" s="210">
        <v>0</v>
      </c>
      <c r="E52" s="207">
        <v>0</v>
      </c>
      <c r="F52" s="207">
        <v>0</v>
      </c>
      <c r="G52" s="210">
        <v>0</v>
      </c>
      <c r="H52" s="207">
        <v>120</v>
      </c>
      <c r="I52" s="208">
        <v>90</v>
      </c>
      <c r="J52" s="258">
        <f>ROUND((C52*L1_Minute)+((D52+G52)*L2_Minute)+((E52+F52)*L3_Minute)+(H52*User_Minute)+I52,2)</f>
        <v>181.8</v>
      </c>
    </row>
    <row r="53" spans="2:11" ht="15" customHeight="1">
      <c r="B53" s="327" t="s">
        <v>196</v>
      </c>
      <c r="C53" s="327"/>
      <c r="D53" s="327"/>
      <c r="E53" s="327"/>
      <c r="F53" s="327"/>
      <c r="G53" s="327"/>
      <c r="H53" s="327"/>
      <c r="I53" s="327"/>
      <c r="J53" s="327"/>
      <c r="K53" s="243"/>
    </row>
    <row r="54" spans="2:10" ht="15" customHeight="1">
      <c r="B54" s="199" t="s">
        <v>2</v>
      </c>
      <c r="C54" s="207">
        <v>0</v>
      </c>
      <c r="D54" s="210">
        <v>0</v>
      </c>
      <c r="E54" s="207">
        <v>0</v>
      </c>
      <c r="F54" s="207">
        <v>0</v>
      </c>
      <c r="G54" s="210">
        <v>0</v>
      </c>
      <c r="H54" s="207">
        <v>5</v>
      </c>
      <c r="I54" s="208">
        <v>0</v>
      </c>
      <c r="J54" s="258">
        <f>ROUND((C54*L1_Minute)+((D54+G54)*L2_Minute)+((E54+F54)*L3_Minute)+(H54*User_Minute)+I54,2)</f>
        <v>3.4</v>
      </c>
    </row>
    <row r="55" spans="2:10" ht="22.5" customHeight="1">
      <c r="B55" s="211" t="s">
        <v>1</v>
      </c>
      <c r="C55" s="207">
        <v>0</v>
      </c>
      <c r="D55" s="210">
        <v>0</v>
      </c>
      <c r="E55" s="207">
        <v>0</v>
      </c>
      <c r="F55" s="207">
        <v>0</v>
      </c>
      <c r="G55" s="210">
        <v>0</v>
      </c>
      <c r="H55" s="207">
        <v>5</v>
      </c>
      <c r="I55" s="208">
        <v>0</v>
      </c>
      <c r="J55" s="258">
        <f>ROUND((C55*L1_Minute)+((D55+G55)*L2_Minute)+((E55+F55)*L3_Minute)+(H55*User_Minute)+I55,2)</f>
        <v>3.4</v>
      </c>
    </row>
    <row r="57" spans="2:8" ht="15" customHeight="1">
      <c r="B57" s="307" t="s">
        <v>220</v>
      </c>
      <c r="C57" s="308"/>
      <c r="D57" s="308"/>
      <c r="E57" s="308"/>
      <c r="F57" s="308"/>
      <c r="G57" s="145"/>
      <c r="H57" s="145"/>
    </row>
    <row r="58" spans="2:7" s="141" customFormat="1" ht="15" customHeight="1">
      <c r="B58" s="187"/>
      <c r="C58" s="297" t="s">
        <v>118</v>
      </c>
      <c r="D58" s="310"/>
      <c r="E58" s="297" t="str">
        <f>"Annual cost for all "&amp;TEXT(NumClients,"0,000")&amp;" clients"</f>
        <v>Annual cost for all 8,000 clients</v>
      </c>
      <c r="F58" s="310"/>
      <c r="G58" s="235"/>
    </row>
    <row r="59" spans="2:6" s="145" customFormat="1" ht="60">
      <c r="B59" s="188"/>
      <c r="C59" s="106" t="s">
        <v>129</v>
      </c>
      <c r="D59" s="90" t="s">
        <v>1</v>
      </c>
      <c r="E59" s="106" t="s">
        <v>129</v>
      </c>
      <c r="F59" s="90" t="s">
        <v>1</v>
      </c>
    </row>
    <row r="60" spans="2:7" s="145" customFormat="1" ht="15" customHeight="1">
      <c r="B60" s="107" t="s">
        <v>290</v>
      </c>
      <c r="C60" s="215">
        <f aca="true" t="shared" si="0" ref="C60:C65">ROUND(E60/NumClients,2)</f>
        <v>7.07</v>
      </c>
      <c r="D60" s="215">
        <f aca="true" t="shared" si="1" ref="D60:D65">ROUND(F60/NumClients,2)</f>
        <v>0.78</v>
      </c>
      <c r="E60" s="215">
        <f>ROUND(J42*E33,2)</f>
        <v>56576</v>
      </c>
      <c r="F60" s="215">
        <f>ROUND(J43*F33,2)</f>
        <v>6201.6</v>
      </c>
      <c r="G60" s="70">
        <v>1</v>
      </c>
    </row>
    <row r="61" spans="2:7" s="145" customFormat="1" ht="24">
      <c r="B61" s="107" t="s">
        <v>291</v>
      </c>
      <c r="C61" s="215">
        <f t="shared" si="0"/>
        <v>1.25</v>
      </c>
      <c r="D61" s="215">
        <f t="shared" si="1"/>
        <v>0.14</v>
      </c>
      <c r="E61" s="215">
        <f>ROUND(J45*E34,2)</f>
        <v>9992.32</v>
      </c>
      <c r="F61" s="215">
        <f>ROUND(J46*F34,2)</f>
        <v>1095.31</v>
      </c>
      <c r="G61" s="243"/>
    </row>
    <row r="62" spans="2:7" s="145" customFormat="1" ht="24">
      <c r="B62" s="107" t="s">
        <v>233</v>
      </c>
      <c r="C62" s="215">
        <f t="shared" si="0"/>
        <v>16.61</v>
      </c>
      <c r="D62" s="215">
        <f t="shared" si="1"/>
        <v>1.82</v>
      </c>
      <c r="E62" s="215">
        <f>ROUND(J48*E35*Questionnaire!C77,2)</f>
        <v>132899.52</v>
      </c>
      <c r="F62" s="215">
        <f>ROUND(J49*F35*Questionnaire!D77,2)</f>
        <v>14567.83</v>
      </c>
      <c r="G62" s="243"/>
    </row>
    <row r="63" spans="2:7" s="145" customFormat="1" ht="36">
      <c r="B63" s="107" t="s">
        <v>36</v>
      </c>
      <c r="C63" s="215">
        <f t="shared" si="0"/>
        <v>0</v>
      </c>
      <c r="D63" s="215">
        <f t="shared" si="1"/>
        <v>0</v>
      </c>
      <c r="E63" s="215">
        <f>ROUND(J51*E36,2)</f>
        <v>0</v>
      </c>
      <c r="F63" s="215">
        <f>ROUND(K52*F36,2)</f>
        <v>0</v>
      </c>
      <c r="G63" s="243"/>
    </row>
    <row r="64" spans="2:7" s="145" customFormat="1" ht="24">
      <c r="B64" s="107" t="s">
        <v>202</v>
      </c>
      <c r="C64" s="215">
        <f t="shared" si="0"/>
        <v>0.37</v>
      </c>
      <c r="D64" s="215">
        <f t="shared" si="1"/>
        <v>11.97</v>
      </c>
      <c r="E64" s="215">
        <f>ROUND(J54*E28,2)</f>
        <v>2992</v>
      </c>
      <c r="F64" s="215">
        <f>ROUND(J55*F28,2)</f>
        <v>95744</v>
      </c>
      <c r="G64" s="243"/>
    </row>
    <row r="65" spans="2:7" s="145" customFormat="1" ht="24">
      <c r="B65" s="225" t="s">
        <v>195</v>
      </c>
      <c r="C65" s="215">
        <f t="shared" si="0"/>
        <v>25.31</v>
      </c>
      <c r="D65" s="215">
        <f t="shared" si="1"/>
        <v>14.7</v>
      </c>
      <c r="E65" s="215">
        <f>SUM(E60:E64)</f>
        <v>202459.84</v>
      </c>
      <c r="F65" s="215">
        <f>SUM(F60:F64)</f>
        <v>117608.73999999999</v>
      </c>
      <c r="G65" s="243"/>
    </row>
  </sheetData>
  <sheetProtection sheet="1" objects="1" scenarios="1"/>
  <mergeCells count="31">
    <mergeCell ref="E5:H5"/>
    <mergeCell ref="B1:I1"/>
    <mergeCell ref="B3:C3"/>
    <mergeCell ref="E3:I3"/>
    <mergeCell ref="E4:H4"/>
    <mergeCell ref="E6:H6"/>
    <mergeCell ref="C16:D16"/>
    <mergeCell ref="B30:F30"/>
    <mergeCell ref="B9:F9"/>
    <mergeCell ref="B21:F21"/>
    <mergeCell ref="E12:F12"/>
    <mergeCell ref="B15:F15"/>
    <mergeCell ref="B11:F11"/>
    <mergeCell ref="C12:D12"/>
    <mergeCell ref="E58:F58"/>
    <mergeCell ref="B53:J53"/>
    <mergeCell ref="B50:J50"/>
    <mergeCell ref="C58:D58"/>
    <mergeCell ref="B57:F57"/>
    <mergeCell ref="E16:F16"/>
    <mergeCell ref="E27:F27"/>
    <mergeCell ref="C22:D22"/>
    <mergeCell ref="E22:F22"/>
    <mergeCell ref="B26:F26"/>
    <mergeCell ref="C27:D27"/>
    <mergeCell ref="B47:J47"/>
    <mergeCell ref="B41:J41"/>
    <mergeCell ref="C31:D31"/>
    <mergeCell ref="B44:J44"/>
    <mergeCell ref="B39:J39"/>
    <mergeCell ref="E31:F31"/>
  </mergeCells>
  <hyperlinks>
    <hyperlink ref="I6" location="Questionnaire!A1" display="Questionnaire"/>
    <hyperlink ref="I5" location="Summary!A1" display="Summary"/>
  </hyperlinks>
  <printOptions/>
  <pageMargins left="0.3" right="0.3" top="0.3" bottom="0.3" header="0" footer="0"/>
  <pageSetup fitToHeight="9" horizontalDpi="600" verticalDpi="600" orientation="landscape" scale="93" r:id="rId4"/>
  <rowBreaks count="2" manualBreakCount="2">
    <brk id="29" max="10" man="1"/>
    <brk id="56" max="10"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Principled Technologies,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Manageability costs calculator</dc:title>
  <dc:subject/>
  <dc:creator>Principled Technologies, Inc.</dc:creator>
  <cp:keywords/>
  <dc:description/>
  <cp:lastModifiedBy> </cp:lastModifiedBy>
  <cp:lastPrinted>2007-09-13T21:44:08Z</cp:lastPrinted>
  <dcterms:created xsi:type="dcterms:W3CDTF">2007-06-26T17:40:20Z</dcterms:created>
  <dcterms:modified xsi:type="dcterms:W3CDTF">2007-09-13T21:56:14Z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