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940" windowWidth="15180" windowHeight="4005" activeTab="0"/>
  </bookViews>
  <sheets>
    <sheet name="TCO" sheetId="1" r:id="rId1"/>
    <sheet name="Power" sheetId="2" r:id="rId2"/>
    <sheet name="Deployment" sheetId="3" r:id="rId3"/>
    <sheet name="Data center costs" sheetId="4" r:id="rId4"/>
    <sheet name="Manageability" sheetId="5" r:id="rId5"/>
    <sheet name="Productivity" sheetId="6" r:id="rId6"/>
    <sheet name="Assumptions" sheetId="7" r:id="rId7"/>
    <sheet name="Defaults" sheetId="8" state="hidden" r:id="rId8"/>
  </sheets>
  <definedNames>
    <definedName name="AS_access_infrastructure_server_cost">'Assumptions'!$H$14</definedName>
    <definedName name="AS_admin_training_base_cost">'Assumptions'!$H$49</definedName>
    <definedName name="AS_admin_training_cost">'Assumptions'!$H$48</definedName>
    <definedName name="AS_admin_training_hours">'Assumptions'!$H$47</definedName>
    <definedName name="AS_admin_training_oterh_expenses">'Assumptions'!$H$50</definedName>
    <definedName name="AS_app_test_time">'Assumptions'!$H$42</definedName>
    <definedName name="AS_average_client_cost">'Assumptions'!$H$17</definedName>
    <definedName name="AS_average_hourly_wage">'Assumptions'!$H$7</definedName>
    <definedName name="AS_average_IT_hourly_wage">'Assumptions'!$H$8</definedName>
    <definedName name="AS_average_monitor_cost">'Assumptions'!$H$18</definedName>
    <definedName name="AS_average_server_cost">'Assumptions'!$H$16</definedName>
    <definedName name="AS_avg_consultant_hourly_rate">'Assumptions'!$H$9</definedName>
    <definedName name="AS_client_acc_lic_cost">'Assumptions'!$H$19</definedName>
    <definedName name="AS_client_accLlic_cost">'Assumptions'!$H$19</definedName>
    <definedName name="AS_client_add_minutes">'Assumptions'!$H$103</definedName>
    <definedName name="AS_client_app_lic_cost">'Assumptions'!$H$27</definedName>
    <definedName name="AS_client_calls_year">'Assumptions'!$H$97</definedName>
    <definedName name="AS_client_delete_minutes">'Assumptions'!$H$104</definedName>
    <definedName name="AS_client_misc_mgmt_cost">'Assumptions'!$H$109</definedName>
    <definedName name="AS_client_move_minutes">'Assumptions'!$H$102</definedName>
    <definedName name="AS_client_net_upgrade">'Assumptions'!$H$28</definedName>
    <definedName name="AS_Client_Off_Hours_Per_Year">'Assumptions'!$H$61</definedName>
    <definedName name="AS_client_off_power">'Assumptions'!$H$64</definedName>
    <definedName name="AS_Client_On_Hours_Per_Day">'Assumptions'!$H$55</definedName>
    <definedName name="AS_Client_On_Hours_Per_Holiday">'Assumptions'!$H$57</definedName>
    <definedName name="AS_Client_On_Hours_Per_Year">'Assumptions'!$H$59</definedName>
    <definedName name="AS_client_pct_sw">'Assumptions'!#REF!</definedName>
    <definedName name="AS_client_pctt_hw">'Assumptions'!#REF!</definedName>
    <definedName name="AS_client_power_cost">'Assumptions'!$H$83</definedName>
    <definedName name="AS_client_running_power">'Assumptions'!$H$62</definedName>
    <definedName name="AS_Client_Standby_Hours_Per_Year">'Assumptions'!$H$60</definedName>
    <definedName name="AS_client_standby_power">'Assumptions'!$H$63</definedName>
    <definedName name="AS_clients_pct_added">'Assumptions'!$H$100</definedName>
    <definedName name="AS_clients_pct_deleted">'Assumptions'!$H$101</definedName>
    <definedName name="AS_clients_pct_moved">'Assumptions'!$H$99</definedName>
    <definedName name="AS_clients_per_access_server">'TCO'!$H$27</definedName>
    <definedName name="AS_clients_per_management_server">'Assumptions'!$H$22</definedName>
    <definedName name="AS_consulting_factor">'Assumptions'!$H$24</definedName>
    <definedName name="AS_cost_per_blade">'Assumptions'!$H$34</definedName>
    <definedName name="AS_cost_per_blade_enclosure">'Assumptions'!$H$35</definedName>
    <definedName name="AS_cost_per_rack">'Assumptions'!$H$29</definedName>
    <definedName name="AS_cost_per_sq_feet">'Assumptions'!$H$10</definedName>
    <definedName name="AS_estimated_servers">'Power'!$H$41</definedName>
    <definedName name="AS_inv_succ_rate">'Assumptions'!$H$88</definedName>
    <definedName name="AS_inventory_manual_hours_client">'Assumptions'!$H$90</definedName>
    <definedName name="AS_inventory_remote_hours_client">'Assumptions'!$H$89</definedName>
    <definedName name="AS_IT_factor">'Assumptions'!$H$26</definedName>
    <definedName name="AS_IT_staff_hours_base">'Assumptions'!$H$25</definedName>
    <definedName name="AS_lient_off_power">'Assumptions'!$H$64</definedName>
    <definedName name="AS_lost_minutes_IT">'Assumptions'!$H$114</definedName>
    <definedName name="AS_lost_minutes_reboot">'Assumptions'!$H$113</definedName>
    <definedName name="AS_management_server_cost">'Assumptions'!$H$15</definedName>
    <definedName name="AS_management_servers_per_lcient">'TCO'!$H$27</definedName>
    <definedName name="AS_max_concurrent_pct">'Assumptions'!$H$4</definedName>
    <definedName name="AS_max_servers_per_FTE">'Assumptions'!$H$107</definedName>
    <definedName name="AS_mgnt_sw_cost_per_client">'Assumptions'!$H$38</definedName>
    <definedName name="AS_min_access_servers">'Assumptions'!$H$21</definedName>
    <definedName name="AS_min_management_servers">'Assumptions'!$H$23</definedName>
    <definedName name="AS_minutes_lost_per_day">'Productivity'!$H$11</definedName>
    <definedName name="AS_minutes_per_call">'Assumptions'!$H$98</definedName>
    <definedName name="AS_minutes_per_compute_incident">'Assumptions'!$H$117</definedName>
    <definedName name="AS_minutes_per_day_restriction">'Assumptions'!$H$116</definedName>
    <definedName name="AS_MinutesServerCongestion">'TCO'!$H$28</definedName>
    <definedName name="AS_monitor_off_power">'Assumptions'!$H$67</definedName>
    <definedName name="AS_monitor_running_power">'Assumptions'!$H$65</definedName>
    <definedName name="AS_monitor_standby_power">'Assumptions'!$H$66</definedName>
    <definedName name="AS_net_pct_upgrade">'Assumptions'!$H$32</definedName>
    <definedName name="AS_nonpatch_unscheduled_hours_year">'Assumptions'!$H$105</definedName>
    <definedName name="AS_num_admins">'Deployment'!$H$56</definedName>
    <definedName name="AS_num_apps">'TCO'!$H$26</definedName>
    <definedName name="AS_num_clients">'TCO'!$H$24</definedName>
    <definedName name="AS_num_compute_incidents_per_day">'Assumptions'!$H$118</definedName>
    <definedName name="AS_num_inventories_year">'Assumptions'!$H$87</definedName>
    <definedName name="AS_num_users">'Assumptions'!#REF!</definedName>
    <definedName name="AS_number_of_access_infrastructure_servers">'Deployment'!$H$30</definedName>
    <definedName name="AS_number_of_management_servers">'Deployment'!$H$31</definedName>
    <definedName name="AS_number_of_racks">'Deployment'!$H$32</definedName>
    <definedName name="AS_patch_manual_hours">'Assumptions'!$H$96</definedName>
    <definedName name="AS_patch_pct_successful">'Assumptions'!$H$95</definedName>
    <definedName name="AS_patch_prep_hours">'Assumptions'!$H$93</definedName>
    <definedName name="AS_patch_remote_hours">'Assumptions'!$H$94</definedName>
    <definedName name="AS_pct_admins_trained">'Assumptions'!$H$51</definedName>
    <definedName name="AS_pct_app_replaced">'Assumptions'!$H$40</definedName>
    <definedName name="AS_pct_apps_ported">'Assumptions'!$H$41</definedName>
    <definedName name="AS_pct_new_app_Lic">'Assumptions'!$H$5</definedName>
    <definedName name="AS_port_costs">'Assumptions'!$H$33</definedName>
    <definedName name="AS_porting_hours">'Assumptions'!$H$44</definedName>
    <definedName name="AS_replacement_cost">'Assumptions'!$H$43</definedName>
    <definedName name="AS_san_gb_cost">'Assumptions'!$H$37</definedName>
    <definedName name="AS_san_gb_per_user">'Assumptions'!$H$36</definedName>
    <definedName name="AS_san_storage_per_user">'Assumptions'!$H$36</definedName>
    <definedName name="AS_scheduled_compliance_year">'Assumptions'!$H$106</definedName>
    <definedName name="AS_scheduled_patch_year">'Assumptions'!$H$91</definedName>
    <definedName name="AS_schedults_patch_year">'Assumptions'!$H$91</definedName>
    <definedName name="AS_server_cooling">'Assumptions'!$H$82</definedName>
    <definedName name="AS_server_managability_cost">'Assumptions'!$H$108</definedName>
    <definedName name="AS_server_running_power">'Assumptions'!$H$81</definedName>
    <definedName name="AS_servers_per_rack">'Assumptions'!$H$39</definedName>
    <definedName name="AS_sq_feet_per_rack">'Assumptions'!$H$30</definedName>
    <definedName name="AS_standby_hours_per_day">'Assumptions'!$H$56</definedName>
    <definedName name="AS_standby_hours_per_holiday">'Assumptions'!$H$58</definedName>
    <definedName name="AS_total_manageability_cost">'Manageability'!$H$10</definedName>
    <definedName name="AS_unscheduled_patch_year">'Assumptions'!$H$92</definedName>
    <definedName name="AS_upgrade_cycle">'TCO'!$H$25</definedName>
    <definedName name="AS_user_training_hours">'Assumptions'!$H$45</definedName>
    <definedName name="AS_user_training_max">'Assumptions'!$H$46</definedName>
    <definedName name="AS_uses_blades">'Assumptions'!#REF!</definedName>
    <definedName name="AS_wiring_cost_per_rack">'Assumptions'!$H$31</definedName>
    <definedName name="AS_work_hours_per_day">'Assumptions'!#REF!</definedName>
    <definedName name="AS_workdays_per_week">'Assumptions'!#REF!</definedName>
    <definedName name="AS_workdays_per_year">'Assumptions'!$H$6</definedName>
    <definedName name="BPC_admin_training_base_cost">'Assumptions'!$G$49</definedName>
    <definedName name="BPC_admin_training_cost">'Assumptions'!$G$48</definedName>
    <definedName name="BPC_admin_training_hours">'Assumptions'!$G$47</definedName>
    <definedName name="BPC_admin_training_oterh_expenses">'Assumptions'!$G$50</definedName>
    <definedName name="BPC_app_test_time">'Assumptions'!$G$42</definedName>
    <definedName name="BPC_average_client_cost">'Assumptions'!$G$17</definedName>
    <definedName name="BPC_average_hourly_wage">'Assumptions'!$G$7</definedName>
    <definedName name="BPC_average_IT_hourly_wage">'Assumptions'!$G$8</definedName>
    <definedName name="BPC_average_monitor_cost">'Assumptions'!$G$18</definedName>
    <definedName name="BPC_average_server_cost">'Assumptions'!$G$16</definedName>
    <definedName name="BPC_avg_consultant_hourly_rate">'Assumptions'!$G$9</definedName>
    <definedName name="BPC_blade_off_hours_per_year">'Assumptions'!$G$74</definedName>
    <definedName name="BPC_blade_off_power">'Assumptions'!$G$77</definedName>
    <definedName name="BPC_Blade_On_Hours_Per_Day">'Assumptions'!$G$68</definedName>
    <definedName name="BPC_Blade_On_Hours_Per_Holiday">'Assumptions'!$G$70</definedName>
    <definedName name="BPC_Blade_On_Hours_Per_Year">'Assumptions'!$G$72</definedName>
    <definedName name="BPC_blade_running_power">'Assumptions'!$G$75</definedName>
    <definedName name="BPC_blade_standby_hours_per_day">'Assumptions'!$G$69</definedName>
    <definedName name="BPC_blade_standby_hours_per_holiday">'Assumptions'!$G$71</definedName>
    <definedName name="BPC_blade_standby_hours_per_Year">'Assumptions'!$G$73</definedName>
    <definedName name="BPC_blade_standby_power">'Assumptions'!$G$76</definedName>
    <definedName name="BPC_BPC_access_infrastructure_server_cost">'Assumptions'!$G$14</definedName>
    <definedName name="BPC_client_acc_lic_cost">'Assumptions'!$G$19</definedName>
    <definedName name="BPC_client_accLlic_cost">'Assumptions'!$G$19</definedName>
    <definedName name="BPC_client_add_minutes">'Assumptions'!$G$103</definedName>
    <definedName name="BPC_client_app_lic_cost">'Assumptions'!$G$27</definedName>
    <definedName name="BPC_client_calls_year">'Assumptions'!$G$97</definedName>
    <definedName name="BPC_client_delete_minutes">'Assumptions'!$G$104</definedName>
    <definedName name="BPC_client_misc_mgmt_cost">'Assumptions'!$G$109</definedName>
    <definedName name="BPC_client_move_minutes">'Assumptions'!$G$102</definedName>
    <definedName name="BPC_client_net_upgrade">'Assumptions'!$G$28</definedName>
    <definedName name="BPC_Client_Off_Hours_Per_Year">'Assumptions'!$G$61</definedName>
    <definedName name="BPC_client_off_power">'Assumptions'!$G$64</definedName>
    <definedName name="BPC_Client_On_Hours_Per_Day">'Assumptions'!$G$55</definedName>
    <definedName name="BPC_Client_On_Hours_Per_Holiday">'Assumptions'!$G$57</definedName>
    <definedName name="BPC_Client_On_Hours_Per_Year">'Assumptions'!$G$59</definedName>
    <definedName name="BPC_client_pct_sw">'Assumptions'!#REF!</definedName>
    <definedName name="BPC_client_pctt_hw">'Assumptions'!#REF!</definedName>
    <definedName name="BPC_client_power_cost">'Assumptions'!$G$83</definedName>
    <definedName name="BPC_client_running_power">'Assumptions'!$G$62</definedName>
    <definedName name="BPC_Client_Standby_Hours_Per_Year">'Assumptions'!$G$60</definedName>
    <definedName name="BPC_client_standby_power">'Assumptions'!$G$63</definedName>
    <definedName name="BPC_clients_pct_added">'Assumptions'!$G$100</definedName>
    <definedName name="BPC_clients_pct_deleted">'Assumptions'!$G$101</definedName>
    <definedName name="BPC_clients_pct_moved">'Assumptions'!$G$99</definedName>
    <definedName name="BPC_clients_per_access_server">'TCO'!$G$27</definedName>
    <definedName name="BPC_clients_per_management_server">'Assumptions'!$G$22</definedName>
    <definedName name="BPC_consulting_factor">'Assumptions'!$G$24</definedName>
    <definedName name="BPC_cost_per_blade">'Assumptions'!$G$34</definedName>
    <definedName name="BPC_cost_per_blade_enclosure">'Assumptions'!$G$35</definedName>
    <definedName name="BPC_cost_per_rack">'Assumptions'!$G$29</definedName>
    <definedName name="BPC_cost_per_sq_feet">'Assumptions'!$G$10</definedName>
    <definedName name="BPC_estimated_servers">'Power'!$G$41</definedName>
    <definedName name="BPC_inv_succ_rate">'Assumptions'!$G$88</definedName>
    <definedName name="BPC_inventory_manual_hours_client">'Assumptions'!$G$90</definedName>
    <definedName name="BPC_inventory_remote_hours_client">'Assumptions'!$G$89</definedName>
    <definedName name="BPC_IT_factor">'Assumptions'!$G$26</definedName>
    <definedName name="BPC_IT_staff_hours_base">'Assumptions'!$G$25</definedName>
    <definedName name="BPC_lient_off_power">'Assumptions'!$G$64</definedName>
    <definedName name="BPC_lost_minutes_IT">'Assumptions'!$G$114</definedName>
    <definedName name="BPC_lost_minutes_reboot">'Assumptions'!$G$113</definedName>
    <definedName name="BPC_management_server_cost">'Assumptions'!$G$15</definedName>
    <definedName name="BPC_management_servers_per_lcient">'TCO'!$G$27</definedName>
    <definedName name="BPC_max_concurrent_pct">'Assumptions'!$G$4</definedName>
    <definedName name="BPC_max_servers_per_FTE">'Assumptions'!$G$107</definedName>
    <definedName name="BPC_mgnt_sw_cost_per_client">'Assumptions'!$G$38</definedName>
    <definedName name="BPC_min_access_servers">'Assumptions'!$G$21</definedName>
    <definedName name="BPC_min_management_servers">'Assumptions'!$G$23</definedName>
    <definedName name="BPC_minutes_lost_per_day">'Productivity'!$G$11</definedName>
    <definedName name="BPC_minutes_per_call">'Assumptions'!$G$98</definedName>
    <definedName name="BPC_minutes_per_compute_incident">'Assumptions'!$G$117</definedName>
    <definedName name="BPC_minutes_per_day_restriction">'Assumptions'!$G$116</definedName>
    <definedName name="BPC_MinutesServerCongestion">'TCO'!$G$28</definedName>
    <definedName name="BPC_monitor_off_power">'Assumptions'!$G$67</definedName>
    <definedName name="BPC_monitor_running_power">'Assumptions'!$G$65</definedName>
    <definedName name="BPC_monitor_standby_power">'Assumptions'!$G$66</definedName>
    <definedName name="BPC_net_pct_upgrade">'Assumptions'!$G$32</definedName>
    <definedName name="BPC_nonpatch_unscheduled_hours_year">'Assumptions'!$G$105</definedName>
    <definedName name="BPC_num_admins">'Deployment'!$G$56</definedName>
    <definedName name="BPC_num_apps">'TCO'!$G$26</definedName>
    <definedName name="BPC_num_blade_racks">'Deployment'!$G$23</definedName>
    <definedName name="BPC_num_blades">'Deployment'!$G$21</definedName>
    <definedName name="BPC_num_clients">'TCO'!$G$24</definedName>
    <definedName name="BPC_num_compute_incidents_per_day">'Assumptions'!$G$118</definedName>
    <definedName name="BPC_num_inventories_year">'Assumptions'!$G$87</definedName>
    <definedName name="BPC_num_users">'Assumptions'!#REF!</definedName>
    <definedName name="BPC_number_of_access_infrastructure_servers">'Deployment'!$G$30</definedName>
    <definedName name="BPC_number_of_management_servers">'Deployment'!$G$31</definedName>
    <definedName name="BPC_number_of_racks">'Deployment'!$G$32</definedName>
    <definedName name="BPC_patch_manual_hours">'Assumptions'!$G$96</definedName>
    <definedName name="BPC_patch_pct_successful">'Assumptions'!$G$95</definedName>
    <definedName name="BPC_patch_prep_hours">'Assumptions'!$G$93</definedName>
    <definedName name="BPC_patch_remote_hours">'Assumptions'!$G$94</definedName>
    <definedName name="BPC_pct_admins_trained">'Assumptions'!$G$51</definedName>
    <definedName name="BPC_pct_app_replaced">'Assumptions'!$G$40</definedName>
    <definedName name="BPC_pct_apps_ported">'Assumptions'!$G$41</definedName>
    <definedName name="BPC_pct_new_app_Lic">'Assumptions'!$G$5</definedName>
    <definedName name="BPC_port_costs">'Assumptions'!$G$33</definedName>
    <definedName name="BPC_porting_hours">'Assumptions'!$G$44</definedName>
    <definedName name="BPC_replacement_cost">'Assumptions'!$G$43</definedName>
    <definedName name="BPC_san_gb_cost">'Assumptions'!$G$37</definedName>
    <definedName name="BPC_san_gb_per_user">'Assumptions'!$G$36</definedName>
    <definedName name="BPC_san_storage_per_user">'Assumptions'!$G$36</definedName>
    <definedName name="BPC_scheduled_compliance_year">'Assumptions'!$G$106</definedName>
    <definedName name="BPC_scheduled_patch_year">'Assumptions'!$G$91</definedName>
    <definedName name="BPC_schedults_patch_year">'Assumptions'!$G$91</definedName>
    <definedName name="BPC_server_cooling">'Assumptions'!$G$82</definedName>
    <definedName name="BPC_server_managability_cost">'Assumptions'!$G$108</definedName>
    <definedName name="BPC_server_running_power">'Assumptions'!$G$81</definedName>
    <definedName name="BPC_servers_per_rack">'Assumptions'!$G$39</definedName>
    <definedName name="BPC_sq_feet_per_rack">'Assumptions'!$G$30</definedName>
    <definedName name="BPC_standby_hours_per_day">'Assumptions'!$G$56</definedName>
    <definedName name="BPC_standby_hours_per_holiday">'Assumptions'!$G$58</definedName>
    <definedName name="BPC_total_manageability_cost">'Manageability'!$G$10</definedName>
    <definedName name="BPC_unscheduled_patch_year">'Assumptions'!$G$92</definedName>
    <definedName name="BPC_upgrade_cycle">'TCO'!$G$25</definedName>
    <definedName name="BPC_user_training_hours">'Assumptions'!$G$45</definedName>
    <definedName name="BPC_user_training_max">'Assumptions'!$G$46</definedName>
    <definedName name="BPC_uses_blades">'Assumptions'!#REF!</definedName>
    <definedName name="BPC_wiring_cost_per_rack">'Assumptions'!$G$31</definedName>
    <definedName name="BPC_work_hours_per_day">'Assumptions'!#REF!</definedName>
    <definedName name="BPC_workdays_per_week">'Assumptions'!#REF!</definedName>
    <definedName name="BPC_workdays_per_year">'Assumptions'!$G$6</definedName>
    <definedName name="OSS_access_infrastructure_server_cost">'Assumptions'!$F$14</definedName>
    <definedName name="OSS_admin_training_base_cost">'Assumptions'!$F$49</definedName>
    <definedName name="OSS_admin_training_cost">'Assumptions'!$F$48</definedName>
    <definedName name="OSS_admin_training_hours">'Assumptions'!$F$47</definedName>
    <definedName name="OSS_admin_training_oterh_expenses">'Assumptions'!$F$50</definedName>
    <definedName name="OSS_app_test_time">'Assumptions'!$F$42</definedName>
    <definedName name="OSS_average_client_cost">'Assumptions'!$F$17</definedName>
    <definedName name="OSS_average_hourly_wage">'Assumptions'!$F$7</definedName>
    <definedName name="OSS_average_IT_hourly_wage">'Assumptions'!$F$8</definedName>
    <definedName name="OSS_average_monitor_cost">'Assumptions'!$F$18</definedName>
    <definedName name="OSS_average_server_cost">'Assumptions'!$F$16</definedName>
    <definedName name="OSS_avg_consultant_hourly_rate">'Assumptions'!$F$9</definedName>
    <definedName name="OSS_client_acc_lic_cost">'Assumptions'!$F$19</definedName>
    <definedName name="OSS_client_accLlic_cost">'Assumptions'!$F$19</definedName>
    <definedName name="OSS_client_add_minutes">'Assumptions'!$F$103</definedName>
    <definedName name="OSS_client_app_lic_cost">'Assumptions'!$F$27</definedName>
    <definedName name="OSS_client_calls_year">'Assumptions'!$F$97</definedName>
    <definedName name="OSS_client_delete_minutes">'Assumptions'!$F$104</definedName>
    <definedName name="OSS_client_misc_mgmt_cost">'Assumptions'!$F$109</definedName>
    <definedName name="OSS_client_move_minutes">'Assumptions'!$F$102</definedName>
    <definedName name="OSS_client_net_upgrade">'Assumptions'!$F$28</definedName>
    <definedName name="OSS_Client_Off_Hours_Per_Year">'Assumptions'!$F$61</definedName>
    <definedName name="OSS_client_off_power">'Assumptions'!$F$64</definedName>
    <definedName name="OSS_Client_On_Hours_Per_Day">'Assumptions'!$F$55</definedName>
    <definedName name="OSS_Client_On_Hours_Per_Holiday">'Assumptions'!$F$57</definedName>
    <definedName name="OSS_Client_On_Hours_Per_Year">'Assumptions'!$F$59</definedName>
    <definedName name="OSS_client_pct_sw">'Assumptions'!#REF!</definedName>
    <definedName name="OSS_client_pctt_hw">'Assumptions'!#REF!</definedName>
    <definedName name="OSS_client_power_cost">'Assumptions'!$F$83</definedName>
    <definedName name="OSS_client_running_power">'Assumptions'!$F$62</definedName>
    <definedName name="OSS_Client_Standby_Hours_Per_Year">'Assumptions'!$F$60</definedName>
    <definedName name="OSS_client_standby_power">'Assumptions'!$F$63</definedName>
    <definedName name="OSS_clients_pct_added">'Assumptions'!$F$100</definedName>
    <definedName name="OSS_clients_pct_deleted">'Assumptions'!$F$101</definedName>
    <definedName name="OSS_clients_pct_moved">'Assumptions'!$F$99</definedName>
    <definedName name="OSS_clients_per_access_server">'TCO'!$F$27</definedName>
    <definedName name="OSS_clients_per_management_server">'Assumptions'!$F$22</definedName>
    <definedName name="OSS_consulting_factor">'Assumptions'!$F$24</definedName>
    <definedName name="OSS_cost_per_blade">'Assumptions'!$F$34</definedName>
    <definedName name="OSS_cost_per_blade_enclosure">'Assumptions'!$F$35</definedName>
    <definedName name="OSS_cost_per_rack">'Assumptions'!$F$29</definedName>
    <definedName name="OSS_cost_per_sq_feet">'Assumptions'!$F$10</definedName>
    <definedName name="OSS_estimated_servers">'Power'!$F$41</definedName>
    <definedName name="OSS_inv_succ_rate">'Assumptions'!$F$88</definedName>
    <definedName name="OSS_inventory_manual_hours_client">'Assumptions'!$F$90</definedName>
    <definedName name="OSS_inventory_remote_hours_client">'Assumptions'!$F$89</definedName>
    <definedName name="OSS_IT_factor">'Assumptions'!$F$26</definedName>
    <definedName name="OSS_IT_staff_hours_base">'Assumptions'!$F$25</definedName>
    <definedName name="OSS_lient_off_power">'Assumptions'!$F$64</definedName>
    <definedName name="OSS_lost_minutes_IT">'Assumptions'!$F$114</definedName>
    <definedName name="OSS_lost_minutes_reboot">'Assumptions'!$F$113</definedName>
    <definedName name="OSS_management_server_cost">'Assumptions'!$F$15</definedName>
    <definedName name="OSS_management_servers_per_lcient">'TCO'!$F$27</definedName>
    <definedName name="OSS_max_concurrent_pct">'Assumptions'!$F$4</definedName>
    <definedName name="OSS_max_servers_per_FTE">'Assumptions'!$F$107</definedName>
    <definedName name="OSS_mgnt_sw_cost_per_client">'Assumptions'!$F$38</definedName>
    <definedName name="OSS_min_access_servers">'Assumptions'!$F$21</definedName>
    <definedName name="OSS_min_management_servers">'Assumptions'!$F$23</definedName>
    <definedName name="OSS_minutes_lost_per_day">'Productivity'!$F$11</definedName>
    <definedName name="OSS_minutes_per_call">'Assumptions'!$F$98</definedName>
    <definedName name="OSS_minutes_per_compute_incident">'Assumptions'!$F$117</definedName>
    <definedName name="OSS_minutes_per_day_restriction">'Assumptions'!$F$116</definedName>
    <definedName name="OSS_MinutesServerCongestion">'TCO'!$F$28</definedName>
    <definedName name="OSS_monitor_off_power">'Assumptions'!$F$67</definedName>
    <definedName name="OSS_monitor_running_power">'Assumptions'!$F$65</definedName>
    <definedName name="OSS_monitor_standby_power">'Assumptions'!$F$66</definedName>
    <definedName name="OSS_net_pct_upgrade">'Assumptions'!$F$32</definedName>
    <definedName name="OSS_nonpatch_unscheduled_hours_year">'Assumptions'!$F$105</definedName>
    <definedName name="OSS_num_admins">'Deployment'!$F$56</definedName>
    <definedName name="OSS_num_apps">'TCO'!$F$26</definedName>
    <definedName name="OSS_num_clients">'TCO'!$F$24</definedName>
    <definedName name="OSS_num_compute_incidents_per_day">'Assumptions'!$F$118</definedName>
    <definedName name="OSS_num_inventories_year">'Assumptions'!$F$87</definedName>
    <definedName name="OSS_num_users">'Assumptions'!#REF!</definedName>
    <definedName name="OSS_number_of_access_infrastructure_servers">'Deployment'!$F$30</definedName>
    <definedName name="OSS_number_of_management_servers">'Deployment'!$F$31</definedName>
    <definedName name="OSS_number_of_racks">'Deployment'!$F$32</definedName>
    <definedName name="OSS_patch_manual_hours">'Assumptions'!$F$96</definedName>
    <definedName name="OSS_patch_pct_successful">'Assumptions'!$F$95</definedName>
    <definedName name="OSS_patch_prep_hours">'Assumptions'!$F$93</definedName>
    <definedName name="OSS_patch_remote_hours">'Assumptions'!$F$94</definedName>
    <definedName name="OSS_pct_admins_trained">'Assumptions'!$F$51</definedName>
    <definedName name="OSS_pct_app_replaced">'Assumptions'!$F$40</definedName>
    <definedName name="OSS_pct_apps_ported">'Assumptions'!$F$41</definedName>
    <definedName name="OSS_pct_new_app_Lic">'Assumptions'!$F$5</definedName>
    <definedName name="OSS_port_costs">'Assumptions'!$F$33</definedName>
    <definedName name="OSS_porting_hours">'Assumptions'!$F$44</definedName>
    <definedName name="OSS_replacement_cost">'Assumptions'!$F$43</definedName>
    <definedName name="OSS_san_gb_cost">'Assumptions'!$F$37</definedName>
    <definedName name="OSS_san_gb_per_user">'Assumptions'!$F$36</definedName>
    <definedName name="OSS_san_storage_per_user">'Assumptions'!$F$36</definedName>
    <definedName name="OSS_scheduled_compliance_year">'Assumptions'!$F$106</definedName>
    <definedName name="OSS_scheduled_patch_year">'Assumptions'!$F$91</definedName>
    <definedName name="OSS_schedults_patch_year">'Assumptions'!$F$91</definedName>
    <definedName name="OSS_server_cooling">'Assumptions'!$F$82</definedName>
    <definedName name="OSS_server_managability_cost">'Assumptions'!$F$108</definedName>
    <definedName name="OSS_server_running_power">'Assumptions'!$F$81</definedName>
    <definedName name="OSS_servers_per_rack">'Assumptions'!$F$39</definedName>
    <definedName name="OSS_sq_feet_per_rack">'Assumptions'!$F$30</definedName>
    <definedName name="OSS_standby_hours_per_day">'Assumptions'!$F$56</definedName>
    <definedName name="OSS_standby_hours_per_holiday">'Assumptions'!$F$58</definedName>
    <definedName name="OSS_total_manageability_cost">'Manageability'!$F$10</definedName>
    <definedName name="OSS_unscheduled_patch_year">'Assumptions'!$F$92</definedName>
    <definedName name="OSS_upgrade_cycle">'TCO'!$F$25</definedName>
    <definedName name="OSS_user_training_hours">'Assumptions'!$F$45</definedName>
    <definedName name="OSS_user_training_max">'Assumptions'!$F$46</definedName>
    <definedName name="OSS_uses_blades">'Assumptions'!#REF!</definedName>
    <definedName name="OSS_wiring_cost_per_rack">'Assumptions'!$F$31</definedName>
    <definedName name="OSS_work_hours_per_day">'Assumptions'!#REF!</definedName>
    <definedName name="OSS_workdays_per_week">'Assumptions'!#REF!</definedName>
    <definedName name="OSS_workdays_per_year">'Assumptions'!$F$6</definedName>
    <definedName name="_xlnm.Print_Area" localSheetId="6">'Assumptions'!$A$1:$H$118</definedName>
    <definedName name="_xlnm.Print_Area" localSheetId="3">'Data center costs'!$A$1:$H$55</definedName>
    <definedName name="_xlnm.Print_Area" localSheetId="2">'Deployment'!$A$1:$H$65</definedName>
    <definedName name="_xlnm.Print_Area" localSheetId="4">'Manageability'!$A$1:$H$53</definedName>
    <definedName name="_xlnm.Print_Area" localSheetId="1">'Power'!$A$1:$H$55</definedName>
    <definedName name="_xlnm.Print_Area" localSheetId="5">'Productivity'!$A$1:$H$16</definedName>
    <definedName name="TCOMAINDEFAULTS">'Defaults'!$C$122:$H$126</definedName>
    <definedName name="TMR_access_infrastructure_server_cost">'Assumptions'!$D$14</definedName>
    <definedName name="TMR_admin_training_base_cost">'Assumptions'!$D$49</definedName>
    <definedName name="TMR_admin_training_cost">'Assumptions'!$D$48</definedName>
    <definedName name="TMR_admin_training_hours">'Assumptions'!$D$47</definedName>
    <definedName name="TMR_admin_training_oterh_expenses">'Assumptions'!$D$50</definedName>
    <definedName name="TMR_app_test_time">'Assumptions'!$D$42</definedName>
    <definedName name="TMR_average_client_cost">'Assumptions'!$D$17</definedName>
    <definedName name="TMR_average_hourly_wage">'Assumptions'!$D$7</definedName>
    <definedName name="TMR_average_IT_hourly_wage">'Assumptions'!$D$8</definedName>
    <definedName name="TMR_average_monitor_cost">'Assumptions'!$D$18</definedName>
    <definedName name="TMR_average_server_cost">'Assumptions'!$D$16</definedName>
    <definedName name="TMR_avg_consultant_hourly_rate">'Assumptions'!$D$9</definedName>
    <definedName name="TMR_client_acc_lic_cost">'Assumptions'!$D$19</definedName>
    <definedName name="TMR_client_accLlic_cost">'Assumptions'!$D$19</definedName>
    <definedName name="TMR_client_add_minutes">'Assumptions'!$D$103</definedName>
    <definedName name="TMR_client_app_lic_cost">'Assumptions'!$D$27</definedName>
    <definedName name="TMR_client_calls_year">'Assumptions'!$D$97</definedName>
    <definedName name="TMR_client_delete_minutes">'Assumptions'!$D$104</definedName>
    <definedName name="TMR_client_misc_mgmt_cost">'Assumptions'!$D$109</definedName>
    <definedName name="TMR_client_move_minutes">'Assumptions'!$D$102</definedName>
    <definedName name="TMR_client_net_upgrade">'Assumptions'!$D$28</definedName>
    <definedName name="TMR_Client_Off_Hours_Per_Year">'Assumptions'!$D$61</definedName>
    <definedName name="TMR_client_off_power">'Assumptions'!$D$64</definedName>
    <definedName name="TMR_Client_On_Hours_Per_Day">'Assumptions'!$D$55</definedName>
    <definedName name="TMR_Client_On_Hours_Per_Holiday">'Assumptions'!$D$57</definedName>
    <definedName name="TMR_Client_On_Hours_Per_Year">'Assumptions'!$D$59</definedName>
    <definedName name="TMR_client_pct_sw">'Assumptions'!#REF!</definedName>
    <definedName name="TMR_client_pctt_hw">'Assumptions'!#REF!</definedName>
    <definedName name="TMR_client_power_cost">'Assumptions'!$D$83</definedName>
    <definedName name="TMR_client_running_power">'Assumptions'!$D$62</definedName>
    <definedName name="TMR_Client_Standby_Hours_Per_Year">'Assumptions'!$D$60</definedName>
    <definedName name="TMR_client_standby_power">'Assumptions'!$D$63</definedName>
    <definedName name="TMR_clients_pct_added">'Assumptions'!$D$100</definedName>
    <definedName name="TMR_clients_pct_deleted">'Assumptions'!$D$101</definedName>
    <definedName name="TMR_clients_pct_moved">'Assumptions'!$D$99</definedName>
    <definedName name="TMR_clients_per_access_server">'TCO'!$D$27</definedName>
    <definedName name="TMR_clients_per_management_server">'Assumptions'!$D$22</definedName>
    <definedName name="TMR_consulting_factor">'Assumptions'!$D$24</definedName>
    <definedName name="TMR_cost_per_blade">'Assumptions'!$D$34</definedName>
    <definedName name="TMR_cost_per_blade_enclosure">'Assumptions'!$D$35</definedName>
    <definedName name="TMR_cost_per_rack">'Assumptions'!$D$29</definedName>
    <definedName name="TMR_cost_per_sq_feet">'Assumptions'!$D$10</definedName>
    <definedName name="TMR_estimated_servers">'Power'!$D$41</definedName>
    <definedName name="TMR_inv_succ_rate">'Assumptions'!$D$88</definedName>
    <definedName name="TMR_inventory_manual_hours_client">'Assumptions'!$D$90</definedName>
    <definedName name="TMR_inventory_remote_hours_client">'Assumptions'!$D$89</definedName>
    <definedName name="TMR_IT_factor">'Assumptions'!$D$26</definedName>
    <definedName name="TMR_IT_staff_hours_base">'Assumptions'!$D$25</definedName>
    <definedName name="TMR_lient_off_power">'Assumptions'!$D$64</definedName>
    <definedName name="TMR_lost_minutes_IT">'Assumptions'!$D$114</definedName>
    <definedName name="TMR_lost_minutes_reboot">'Assumptions'!$D$113</definedName>
    <definedName name="TMR_management_server_cost">'Assumptions'!$D$15</definedName>
    <definedName name="TMR_management_servers_per_lcient">'TCO'!$D$27</definedName>
    <definedName name="TMR_max_concurrent_pct">'Assumptions'!$D$4</definedName>
    <definedName name="TMR_max_servers_per_FTE">'Assumptions'!$D$107</definedName>
    <definedName name="TMR_mgnt_sw_cost_per_client">'Assumptions'!$D$38</definedName>
    <definedName name="TMR_min_access_servers">'Assumptions'!$D$21</definedName>
    <definedName name="TMR_min_management_servers">'Assumptions'!$D$23</definedName>
    <definedName name="TMR_minutes_lost_per_day">'Productivity'!$D$11</definedName>
    <definedName name="TMR_minutes_per_call">'Assumptions'!$D$98</definedName>
    <definedName name="TMR_minutes_per_compute_incident">'Assumptions'!$D$117</definedName>
    <definedName name="TMR_minutes_per_day_restriction">'Assumptions'!$D$116</definedName>
    <definedName name="TMR_MinutesServerCongestion">'TCO'!$D$28</definedName>
    <definedName name="TMR_monitor_off_power">'Assumptions'!$D$67</definedName>
    <definedName name="TMR_monitor_running_power">'Assumptions'!$D$65</definedName>
    <definedName name="TMR_monitor_standby_power">'Assumptions'!$D$66</definedName>
    <definedName name="TMR_net_pct_upgrade">'Assumptions'!$D$32</definedName>
    <definedName name="TMR_nonpatch_unscheduled_hours_year">'Assumptions'!$D$105</definedName>
    <definedName name="TMR_num_admins">'Deployment'!$D$56</definedName>
    <definedName name="TMR_num_apps">'TCO'!$D$26</definedName>
    <definedName name="TMR_num_clients">'TCO'!$D$24</definedName>
    <definedName name="TMR_num_compute_incidents_per_day">'Assumptions'!$D$118</definedName>
    <definedName name="TMR_num_inventories_year">'Assumptions'!$D$87</definedName>
    <definedName name="TMR_num_users">'Assumptions'!#REF!</definedName>
    <definedName name="TMR_number_of_access_infrastructure_servers">'Deployment'!$D$30</definedName>
    <definedName name="TMR_number_of_management_servers">'Deployment'!$D$31</definedName>
    <definedName name="TMR_number_of_racks">'Deployment'!$D$32</definedName>
    <definedName name="TMR_patch_manual_hours">'Assumptions'!$D$96</definedName>
    <definedName name="TMR_patch_pct_successful">'Assumptions'!$D$95</definedName>
    <definedName name="TMR_patch_prep_hours">'Assumptions'!$D$93</definedName>
    <definedName name="TMR_patch_remote_hours">'Assumptions'!$D$94</definedName>
    <definedName name="TMR_pct_admins_trained">'Assumptions'!$D$51</definedName>
    <definedName name="TMR_pct_app_replaced">'Assumptions'!$D$40</definedName>
    <definedName name="TMR_pct_apps_ported">'Assumptions'!$D$41</definedName>
    <definedName name="TMR_pct_new_app_Lic">'Assumptions'!$D$5</definedName>
    <definedName name="TMR_port_costs">'Assumptions'!$D$33</definedName>
    <definedName name="TMR_porting_hours">'Assumptions'!$D$44</definedName>
    <definedName name="TMR_replacement_cost">'Assumptions'!$D$43</definedName>
    <definedName name="TMR_san_gb_cost">'Assumptions'!$D$37</definedName>
    <definedName name="TMR_san_gb_per_user">'Assumptions'!$D$36</definedName>
    <definedName name="TMR_san_storage_per_user">'Assumptions'!$D$36</definedName>
    <definedName name="TMR_scheduled_compliance_year">'Assumptions'!$D$106</definedName>
    <definedName name="TMR_scheduled_patch_year">'Assumptions'!$D$91</definedName>
    <definedName name="TMR_schedults_patch_year">'Assumptions'!$D$91</definedName>
    <definedName name="TMR_server_cooling">'Assumptions'!$D$82</definedName>
    <definedName name="TMR_server_managability_cost">'Assumptions'!$D$108</definedName>
    <definedName name="TMR_server_running_power">'Assumptions'!$D$81</definedName>
    <definedName name="TMR_servers_per_rack">'Assumptions'!$D$39</definedName>
    <definedName name="TMR_sq_feet_per_rack">'Assumptions'!$D$30</definedName>
    <definedName name="TMR_standby_hours_per_day">'Assumptions'!$D$56</definedName>
    <definedName name="TMR_standby_hours_per_holiday">'Assumptions'!$D$58</definedName>
    <definedName name="TMR_total_manageability_cost">'Manageability'!$D$10</definedName>
    <definedName name="TMR_unscheduled_patch_year">'Assumptions'!$D$92</definedName>
    <definedName name="TMR_upgrade_cycle">'TCO'!$D$25</definedName>
    <definedName name="TMR_user_training_hours">'Assumptions'!$D$45</definedName>
    <definedName name="TMR_user_training_max">'Assumptions'!$D$46</definedName>
    <definedName name="TMR_uses_blades">'Assumptions'!#REF!</definedName>
    <definedName name="TMR_wiring_cost_per_rack">'Assumptions'!$D$31</definedName>
    <definedName name="TMR_work_hours_per_day">'Assumptions'!#REF!</definedName>
    <definedName name="TMR_workdays_per_week">'Assumptions'!#REF!</definedName>
    <definedName name="TMR_workdays_per_year">'Assumptions'!$D$6</definedName>
    <definedName name="TPS_access_infrastructure_server_cost">'Assumptions'!$C$14</definedName>
    <definedName name="TPS_admin_training_base_cost">'Assumptions'!$C$49</definedName>
    <definedName name="TPS_admin_training_cost">'Assumptions'!$C$48</definedName>
    <definedName name="TPS_admin_training_hours">'Assumptions'!$C$47</definedName>
    <definedName name="TPS_admin_training_oterh_expenses">'Assumptions'!$C$50</definedName>
    <definedName name="TPS_app_test_time">'Assumptions'!$C$42</definedName>
    <definedName name="TPS_average_client_cost">'Assumptions'!$C$17</definedName>
    <definedName name="TPS_average_hourly_wage">'Assumptions'!$C$7</definedName>
    <definedName name="TPS_average_IT_hourly_wage">'Assumptions'!$C$8</definedName>
    <definedName name="TPS_average_monitor_cost">'Assumptions'!$C$18</definedName>
    <definedName name="TPS_average_server_cost">'Assumptions'!$C$16</definedName>
    <definedName name="TPS_avg_consultant_hourly_rate">'Assumptions'!$C$9</definedName>
    <definedName name="TPS_client_acc_lic_cost">'Assumptions'!$C$19</definedName>
    <definedName name="TPS_client_accLlic_cost">'Assumptions'!$C$19</definedName>
    <definedName name="TPS_client_add_minutes">'Assumptions'!$C$103</definedName>
    <definedName name="TPS_client_app_lic_cost">'Assumptions'!$C$27</definedName>
    <definedName name="TPS_client_calls_year">'Assumptions'!$C$97</definedName>
    <definedName name="TPS_client_delete_minutes">'Assumptions'!$C$104</definedName>
    <definedName name="TPS_client_misc_mgmt_cost">'Assumptions'!$C$109</definedName>
    <definedName name="TPS_client_move_minutes">'Assumptions'!$C$102</definedName>
    <definedName name="TPS_client_net_upgrade">'Assumptions'!$C$28</definedName>
    <definedName name="TPS_Client_Off_Hours_Per_Year">'Assumptions'!$C$61</definedName>
    <definedName name="TPS_client_off_power">'Assumptions'!$C$64</definedName>
    <definedName name="TPS_Client_On_Hours_Per_Day">'Assumptions'!$C$55</definedName>
    <definedName name="TPS_Client_On_Hours_Per_HoliDay">'Assumptions'!$C$57</definedName>
    <definedName name="TPS_Client_On_Hours_Per_Year">'Assumptions'!$C$59</definedName>
    <definedName name="TPS_client_pct_sw">'Assumptions'!#REF!</definedName>
    <definedName name="TPS_client_pctt_hw">'Assumptions'!#REF!</definedName>
    <definedName name="TPS_client_power_cost">'Assumptions'!$C$83</definedName>
    <definedName name="TPS_client_running_power">'Assumptions'!$C$62</definedName>
    <definedName name="TPS_Client_Standby_Hours_Per_Year">'Assumptions'!$C$60</definedName>
    <definedName name="TPS_client_standby_power">'Assumptions'!$C$63</definedName>
    <definedName name="TPS_clients_pct_added">'Assumptions'!$C$100</definedName>
    <definedName name="TPS_clients_pct_deleted">'Assumptions'!$C$101</definedName>
    <definedName name="TPS_clients_pct_moved">'Assumptions'!$C$99</definedName>
    <definedName name="TPS_clients_per_access_server">'TCO'!$C$27</definedName>
    <definedName name="TPS_clients_per_management_server">'Assumptions'!$C$22</definedName>
    <definedName name="TPS_consulting_factor">'Assumptions'!$C$24</definedName>
    <definedName name="TPS_cost_per_blade">'Assumptions'!$C$34</definedName>
    <definedName name="TPS_cost_per_blade_enclosure">'Assumptions'!$C$35</definedName>
    <definedName name="TPS_cost_per_rack">'Assumptions'!$C$29</definedName>
    <definedName name="TPS_cost_per_sq_feet">'Assumptions'!$C$10</definedName>
    <definedName name="TPS_estimated_servers">'Power'!$C$41</definedName>
    <definedName name="TPS_inv_succ_rate">'Assumptions'!$C$88</definedName>
    <definedName name="TPS_inventory_manual_hours_client">'Assumptions'!$C$90</definedName>
    <definedName name="TPS_inventory_remote_hours_client">'Assumptions'!$C$89</definedName>
    <definedName name="TPS_IT_factor">'Assumptions'!$C$26</definedName>
    <definedName name="TPS_IT_staff_hours_base">'Assumptions'!$C$25</definedName>
    <definedName name="TPS_lient_off_power">'Assumptions'!$C$64</definedName>
    <definedName name="TPS_lost_minutes_IT">'Assumptions'!$C$114</definedName>
    <definedName name="TPS_lost_minutes_reboot">'Assumptions'!$C$113</definedName>
    <definedName name="TPS_management_server_cost">'Assumptions'!$C$15</definedName>
    <definedName name="TPS_management_servers_per_lcient">'TCO'!$C$27</definedName>
    <definedName name="TPS_max_concurrent_pct">'Assumptions'!$C$4</definedName>
    <definedName name="TPS_max_servers_per_FTE">'Assumptions'!$C$107</definedName>
    <definedName name="TPS_mgnt_sw_cost_per_client">'Assumptions'!$C$38</definedName>
    <definedName name="TPS_min_access_servers">'Assumptions'!$C$21</definedName>
    <definedName name="TPS_min_management_servers">'Assumptions'!$C$23</definedName>
    <definedName name="TPS_minutes_lost_per_day">'Productivity'!$C$11</definedName>
    <definedName name="TPS_minutes_per_call">'Assumptions'!$C$98</definedName>
    <definedName name="TPS_minutes_per_compute_incident">'Assumptions'!$C$117</definedName>
    <definedName name="TPS_minutes_per_day_restriction">'Assumptions'!$C$116</definedName>
    <definedName name="TPS_MinutesServerCongestion">'TCO'!$C$28</definedName>
    <definedName name="TPS_monitor_off_power">'Assumptions'!$C$67</definedName>
    <definedName name="TPS_monitor_running_power">'Assumptions'!$C$65</definedName>
    <definedName name="TPS_monitor_standby_power">'Assumptions'!$C$66</definedName>
    <definedName name="TPS_net_pct_upgrade">'Assumptions'!$C$32</definedName>
    <definedName name="TPS_nonpatch_unscheduled_hours_year">'Assumptions'!$C$105</definedName>
    <definedName name="TPS_num_admins">'Deployment'!$C$56</definedName>
    <definedName name="TPS_num_apps">'TCO'!$C$26</definedName>
    <definedName name="TPS_num_clients">'TCO'!$C$24</definedName>
    <definedName name="TPS_num_compute_incidents_per_day">'Assumptions'!$C$118</definedName>
    <definedName name="TPS_num_inventories_year">'Assumptions'!$C$87</definedName>
    <definedName name="TPS_num_users">'Assumptions'!#REF!</definedName>
    <definedName name="TPS_number_of_access_infrastructure_servers">'Deployment'!$C$30</definedName>
    <definedName name="TPS_number_of_management_servers">'Deployment'!$C$31</definedName>
    <definedName name="TPS_number_of_racks">'Deployment'!$C$32</definedName>
    <definedName name="TPS_patch_manual_hours">'Assumptions'!$C$96</definedName>
    <definedName name="TPS_patch_pct_successful">'Assumptions'!$C$95</definedName>
    <definedName name="TPS_patch_prep_hours">'Assumptions'!$C$93</definedName>
    <definedName name="TPS_patch_remote_hours">'Assumptions'!$C$94</definedName>
    <definedName name="TPS_pct_admins_trained">'Assumptions'!$C$51</definedName>
    <definedName name="TPS_pct_app_replaced">'Assumptions'!$C$40</definedName>
    <definedName name="TPS_pct_apps_ported">'Assumptions'!$C$41</definedName>
    <definedName name="TPS_pct_new_app_Lic">'Assumptions'!$C$5</definedName>
    <definedName name="TPS_port_costs">'Assumptions'!$C$33</definedName>
    <definedName name="TPS_porting_hours">'Assumptions'!$C$44</definedName>
    <definedName name="TPS_replacement_cost">'Assumptions'!$C$43</definedName>
    <definedName name="TPS_san_gb_cost">'Assumptions'!$C$37</definedName>
    <definedName name="TPS_san_gb_per_user">'Assumptions'!$C$36</definedName>
    <definedName name="TPS_san_storage_per_user">'Assumptions'!$C$36</definedName>
    <definedName name="TPS_scheduled_compliance_year">'Assumptions'!$C$106</definedName>
    <definedName name="TPS_scheduled_patch_year">'Assumptions'!$C$91</definedName>
    <definedName name="TPS_schedults_patch_year">'Assumptions'!$C$91</definedName>
    <definedName name="TPS_server_cooling">'Assumptions'!$C$82</definedName>
    <definedName name="TPS_server_managability_cost">'Assumptions'!$C$108</definedName>
    <definedName name="TPS_server_running_power">'Assumptions'!$C$81</definedName>
    <definedName name="TPS_servers_per_rack">'Assumptions'!$C$39</definedName>
    <definedName name="TPS_sq_feet_per_rack">'Assumptions'!$C$30</definedName>
    <definedName name="TPS_standby_hours_per_day">'Assumptions'!$C$56</definedName>
    <definedName name="TPS_standby_hours_per_Holiday">'Assumptions'!$C$58</definedName>
    <definedName name="TPS_total_manageability_cost">'Manageability'!$C$10</definedName>
    <definedName name="TPS_unscheduled_patch_year">'Assumptions'!$C$92</definedName>
    <definedName name="TPS_upgrade_cycle">'TCO'!$C$25</definedName>
    <definedName name="TPS_user_training_hours">'Assumptions'!$C$45</definedName>
    <definedName name="TPS_user_training_max">'Assumptions'!$C$46</definedName>
    <definedName name="TPS_uses_blades">'Assumptions'!#REF!</definedName>
    <definedName name="TPS_wiring_cost_per_rack">'Assumptions'!$C$31</definedName>
    <definedName name="TPS_work_hours_per_day">'Assumptions'!#REF!</definedName>
    <definedName name="TPS_workdays_per_week">'Assumptions'!#REF!</definedName>
    <definedName name="TPS_workdays_per_year">'Assumptions'!$C$6</definedName>
    <definedName name="VHD_access_infrastructure_server_cost">'Assumptions'!$E$14</definedName>
    <definedName name="VHD_admin_training_base_cost">'Assumptions'!$E$49</definedName>
    <definedName name="VHD_admin_training_cost">'Assumptions'!$E$48</definedName>
    <definedName name="VHD_admin_training_hours">'Assumptions'!$E$47</definedName>
    <definedName name="VHD_admin_training_oterh_expenses">'Assumptions'!$E$50</definedName>
    <definedName name="VHD_app_test_time">'Assumptions'!$E$42</definedName>
    <definedName name="VHD_average_client_cost">'Assumptions'!$E$17</definedName>
    <definedName name="VHD_average_hourly_wage">'Assumptions'!$E$7</definedName>
    <definedName name="VHD_average_IT_hourly_wage">'Assumptions'!$E$8</definedName>
    <definedName name="VHD_average_monitor_cost">'Assumptions'!$E$18</definedName>
    <definedName name="VHD_average_server_cost">'Assumptions'!$E$16</definedName>
    <definedName name="VHD_avg_consultant_hourly_rate">'Assumptions'!$E$9</definedName>
    <definedName name="VHD_client_acc_lic_cost">'Assumptions'!$E$19</definedName>
    <definedName name="VHD_client_accLlic_cost">'Assumptions'!$E$19</definedName>
    <definedName name="VHD_client_add_minutes">'Assumptions'!$E$103</definedName>
    <definedName name="VHD_client_app_lic_cost">'Assumptions'!$E$27</definedName>
    <definedName name="VHD_client_calls_year">'Assumptions'!$E$97</definedName>
    <definedName name="VHD_client_delete_minutes">'Assumptions'!$E$104</definedName>
    <definedName name="VHD_client_misc_mgmt_cost">'Assumptions'!$E$109</definedName>
    <definedName name="VHD_client_move_minutes">'Assumptions'!$E$102</definedName>
    <definedName name="VHD_client_net_upgrade">'Assumptions'!$E$28</definedName>
    <definedName name="VHD_Client_Off_Hours_Per_Year">'Assumptions'!$E$61</definedName>
    <definedName name="VHD_client_off_power">'Assumptions'!$E$64</definedName>
    <definedName name="VHD_Client_On_Hours_Per_Day">'Assumptions'!$E$55</definedName>
    <definedName name="VHD_Client_On_Hours_Per_Holiday">'Assumptions'!$E$57</definedName>
    <definedName name="VHD_Client_On_Hours_Per_Year">'Assumptions'!$E$59</definedName>
    <definedName name="VHD_client_pct_sw">'Assumptions'!#REF!</definedName>
    <definedName name="VHD_client_pctt_hw">'Assumptions'!#REF!</definedName>
    <definedName name="VHD_client_power_cost">'Assumptions'!$E$83</definedName>
    <definedName name="VHD_client_running_power">'Assumptions'!$E$62</definedName>
    <definedName name="VHD_Client_Standby_Hours_Per_Year">'Assumptions'!$E$60</definedName>
    <definedName name="VHD_client_standby_power">'Assumptions'!$E$63</definedName>
    <definedName name="VHD_clients_pct_added">'Assumptions'!$E$100</definedName>
    <definedName name="VHD_clients_pct_deleted">'Assumptions'!$E$101</definedName>
    <definedName name="VHD_clients_pct_moved">'Assumptions'!$E$99</definedName>
    <definedName name="VHD_clients_per_access_server">'TCO'!$E$27</definedName>
    <definedName name="VHD_clients_per_management_server">'Assumptions'!$E$22</definedName>
    <definedName name="VHD_consulting_factor">'Assumptions'!$E$24</definedName>
    <definedName name="VHD_cost_per_blade">'Assumptions'!$E$34</definedName>
    <definedName name="VHD_cost_per_blade_enclosure">'Assumptions'!$E$35</definedName>
    <definedName name="VHD_cost_per_rack">'Assumptions'!$E$29</definedName>
    <definedName name="VHD_cost_per_sq_feet">'Assumptions'!$E$10</definedName>
    <definedName name="VHD_estimated_servers">'Power'!$E$41</definedName>
    <definedName name="VHD_inv_succ_rate">'Assumptions'!$E$88</definedName>
    <definedName name="VHD_inventory_manual_hours_client">'Assumptions'!$E$90</definedName>
    <definedName name="VHD_inventory_remote_hours_client">'Assumptions'!$E$89</definedName>
    <definedName name="VHD_IT_factor">'Assumptions'!$E$26</definedName>
    <definedName name="VHD_IT_staff_hours_base">'Assumptions'!$E$25</definedName>
    <definedName name="VHD_lient_off_power">'Assumptions'!$E$64</definedName>
    <definedName name="VHD_lost_minutes_IT">'Assumptions'!$E$114</definedName>
    <definedName name="VHD_lost_minutes_reboot">'Assumptions'!$E$113</definedName>
    <definedName name="VHD_management_server_cost">'Assumptions'!$E$15</definedName>
    <definedName name="VHD_management_servers_per_lcient">'TCO'!$E$27</definedName>
    <definedName name="VHD_max_concurrent_pct">'Assumptions'!$E$4</definedName>
    <definedName name="VHD_max_servers_per_FTE">'Assumptions'!$E$107</definedName>
    <definedName name="VHD_mgnt_sw_cost_per_client">'Assumptions'!$E$38</definedName>
    <definedName name="VHD_min_access_servers">'Assumptions'!$E$21</definedName>
    <definedName name="VHD_min_management_servers">'Assumptions'!$E$23</definedName>
    <definedName name="VHD_minutes_lost_per_day">'Productivity'!$E$11</definedName>
    <definedName name="VHD_minutes_per_call">'Assumptions'!$E$98</definedName>
    <definedName name="VHD_minutes_per_compute_incident">'Assumptions'!$E$117</definedName>
    <definedName name="VHD_minutes_per_day_restriction">'Assumptions'!$E$116</definedName>
    <definedName name="VHD_MinutesServerCongestion">'TCO'!$E$28</definedName>
    <definedName name="VHD_monitor_off_power">'Assumptions'!$E$67</definedName>
    <definedName name="VHD_monitor_running_power">'Assumptions'!$E$65</definedName>
    <definedName name="VHD_monitor_standby_power">'Assumptions'!$E$66</definedName>
    <definedName name="VHD_net_pct_upgrade">'Assumptions'!$E$32</definedName>
    <definedName name="VHD_nonpatch_unscheduled_hours_year">'Assumptions'!$E$105</definedName>
    <definedName name="VHD_num_admins">'Deployment'!$E$56</definedName>
    <definedName name="VHD_num_apps">'TCO'!$E$26</definedName>
    <definedName name="VHD_num_clients">'TCO'!$E$24</definedName>
    <definedName name="VHD_num_compute_incidents_per_day">'Assumptions'!$E$118</definedName>
    <definedName name="VHD_num_inventories_year">'Assumptions'!$E$87</definedName>
    <definedName name="VHD_num_users">'Assumptions'!#REF!</definedName>
    <definedName name="VHD_number_of_access_infrastructure_servers">'Deployment'!$E$30</definedName>
    <definedName name="VHD_number_of_management_servers">'Deployment'!$E$31</definedName>
    <definedName name="VHD_number_of_racks">'Deployment'!$E$32</definedName>
    <definedName name="VHD_patch_manual_hours">'Assumptions'!$E$96</definedName>
    <definedName name="VHD_patch_pct_successful">'Assumptions'!$E$95</definedName>
    <definedName name="VHD_patch_prep_hours">'Assumptions'!$E$93</definedName>
    <definedName name="VHD_patch_remote_hours">'Assumptions'!$E$94</definedName>
    <definedName name="VHD_pct_admins_trained">'Assumptions'!$E$51</definedName>
    <definedName name="VHD_pct_app_replaced">'Assumptions'!$E$40</definedName>
    <definedName name="VHD_pct_apps_ported">'Assumptions'!$E$41</definedName>
    <definedName name="VHD_pct_new_app_Lic">'Assumptions'!$E$5</definedName>
    <definedName name="VHD_port_costs">'Assumptions'!$E$33</definedName>
    <definedName name="VHD_porting_hours">'Assumptions'!$E$44</definedName>
    <definedName name="VHD_replacement_cost">'Assumptions'!$E$43</definedName>
    <definedName name="VHD_san_gb_cost">'Assumptions'!$E$37</definedName>
    <definedName name="VHD_san_gb_per_user">'Assumptions'!$E$36</definedName>
    <definedName name="VHD_san_storage_per_user">'Assumptions'!$E$36</definedName>
    <definedName name="VHD_scheduled_compliance_year">'Assumptions'!$E$106</definedName>
    <definedName name="VHD_scheduled_patch_year">'Assumptions'!$E$91</definedName>
    <definedName name="VHD_schedults_patch_year">'Assumptions'!$E$91</definedName>
    <definedName name="VHD_server_cooling">'Assumptions'!$E$82</definedName>
    <definedName name="VHD_server_managability_cost">'Assumptions'!$E$108</definedName>
    <definedName name="VHD_server_running_power">'Assumptions'!$E$81</definedName>
    <definedName name="VHD_servers_per_rack">'Assumptions'!$E$39</definedName>
    <definedName name="VHD_sq_feet_per_rack">'Assumptions'!$E$30</definedName>
    <definedName name="VHD_standby_hours_per_day">'Assumptions'!$E$56</definedName>
    <definedName name="VHD_standby_hours_per_holiday">'Assumptions'!$E$58</definedName>
    <definedName name="VHD_total_manageability_cost">'Manageability'!$E$10</definedName>
    <definedName name="VHD_unscheduled_patch_year">'Assumptions'!$E$92</definedName>
    <definedName name="VHD_upgrade_cycle">'TCO'!$E$25</definedName>
    <definedName name="VHD_user_training_hours">'Assumptions'!$E$45</definedName>
    <definedName name="VHD_user_training_max">'Assumptions'!$E$46</definedName>
    <definedName name="VHD_uses_blades">'Assumptions'!#REF!</definedName>
    <definedName name="VHD_wiring_cost_per_rack">'Assumptions'!$E$31</definedName>
    <definedName name="VHD_work_hours_per_day">'Assumptions'!#REF!</definedName>
    <definedName name="VHD_workdays_per_week">'Assumptions'!#REF!</definedName>
    <definedName name="VHD_workdays_per_year">'Assumptions'!$E$6</definedName>
    <definedName name="vPro_access_infrastructure_server_cost">'Assumptions'!#REF!</definedName>
    <definedName name="vPro_admin_training_base_cost">'Assumptions'!#REF!</definedName>
    <definedName name="vPro_admin_training_cost">'Assumptions'!#REF!</definedName>
    <definedName name="vPro_admin_training_hours">'Assumptions'!#REF!</definedName>
    <definedName name="vPro_admin_training_oterh_expenses">'Assumptions'!#REF!</definedName>
    <definedName name="vPro_app_test_time">'Assumptions'!#REF!</definedName>
    <definedName name="vPro_average_client_cost">'Assumptions'!#REF!</definedName>
    <definedName name="vPro_average_hourly_wage">'Assumptions'!#REF!</definedName>
    <definedName name="vPro_average_IT_hourly_wage">'Assumptions'!#REF!</definedName>
    <definedName name="vPro_average_monitor_cost">'Assumptions'!#REF!</definedName>
    <definedName name="vPro_average_server_cost">'Assumptions'!#REF!</definedName>
    <definedName name="vPro_avg_consultant_hourly_rate">'Assumptions'!#REF!</definedName>
    <definedName name="vPro_client_acc_lic_cost">'Assumptions'!#REF!</definedName>
    <definedName name="vPro_client_accLlic_cost">'Assumptions'!#REF!</definedName>
    <definedName name="vPro_client_add_minutes">'Assumptions'!#REF!</definedName>
    <definedName name="vPro_client_app_lic_cost">'Assumptions'!#REF!</definedName>
    <definedName name="vPro_client_calls_year">'Assumptions'!#REF!</definedName>
    <definedName name="vPro_client_delete_minutes">'Assumptions'!#REF!</definedName>
    <definedName name="vPro_client_misc_mgmt_cost">'Assumptions'!#REF!</definedName>
    <definedName name="vPro_client_move_minutes">'Assumptions'!#REF!</definedName>
    <definedName name="vPro_client_net_upgrade">'Assumptions'!#REF!</definedName>
    <definedName name="vPro_Client_Off_Hours_Per_Year">'Assumptions'!#REF!</definedName>
    <definedName name="vPro_client_off_power">'Assumptions'!#REF!</definedName>
    <definedName name="vPro_Client_On_Hours_Per_Day">'Assumptions'!#REF!</definedName>
    <definedName name="vPro_Client_On_Hours_Per_Holiday">'Assumptions'!#REF!</definedName>
    <definedName name="vPro_Client_On_Hours_Per_Year">'Assumptions'!#REF!</definedName>
    <definedName name="vPro_client_pct_sw">'Assumptions'!#REF!</definedName>
    <definedName name="vPro_client_pctt_hw">'Assumptions'!#REF!</definedName>
    <definedName name="vPro_client_power_cost">'Assumptions'!#REF!</definedName>
    <definedName name="vPro_client_running_power">'Assumptions'!#REF!</definedName>
    <definedName name="vPro_Client_Standby_Hours_Per_Year">'Assumptions'!#REF!</definedName>
    <definedName name="vPro_client_standby_power">'Assumptions'!#REF!</definedName>
    <definedName name="vPro_clients_pct_added">'Assumptions'!#REF!</definedName>
    <definedName name="vPro_clients_pct_deleted">'Assumptions'!#REF!</definedName>
    <definedName name="vPro_clients_pct_moved">'Assumptions'!#REF!</definedName>
    <definedName name="vPro_clients_per_access_server">'TCO'!#REF!</definedName>
    <definedName name="vPro_clients_per_management_server">'Assumptions'!#REF!</definedName>
    <definedName name="vPro_consulting_factor">'Assumptions'!#REF!</definedName>
    <definedName name="vPro_cost_per_blade">'Assumptions'!#REF!</definedName>
    <definedName name="vPro_cost_per_blade_enclosure">'Assumptions'!#REF!</definedName>
    <definedName name="vPro_cost_per_rack">'Assumptions'!#REF!</definedName>
    <definedName name="vPro_cost_per_sq_feet">'Assumptions'!#REF!</definedName>
    <definedName name="vPro_estimated_servers">'Power'!#REF!</definedName>
    <definedName name="vPro_inv_succ_rate">'Assumptions'!#REF!</definedName>
    <definedName name="vPro_inventory_manual_hours_client">'Assumptions'!#REF!</definedName>
    <definedName name="vPro_inventory_remote_hours_client">'Assumptions'!#REF!</definedName>
    <definedName name="vPro_IT_factor">'Assumptions'!#REF!</definedName>
    <definedName name="vPro_IT_staff_hours_base">'Assumptions'!#REF!</definedName>
    <definedName name="vPro_lient_off_power">'Assumptions'!#REF!</definedName>
    <definedName name="vPro_lost_minutes_IT">'Assumptions'!#REF!</definedName>
    <definedName name="vPro_lost_minutes_reboot">'Assumptions'!#REF!</definedName>
    <definedName name="vPro_management_server_cost">'Assumptions'!#REF!</definedName>
    <definedName name="vPro_management_servers_per_lcient">'TCO'!#REF!</definedName>
    <definedName name="vPro_max_concurrent_pct">'Assumptions'!#REF!</definedName>
    <definedName name="vPro_max_servers_per_FTE">'Assumptions'!#REF!</definedName>
    <definedName name="vPro_mgnt_sw_cost_per_client">'Assumptions'!#REF!</definedName>
    <definedName name="vPro_min_access_servers">'Assumptions'!#REF!</definedName>
    <definedName name="vPro_min_management_servers">'Assumptions'!#REF!</definedName>
    <definedName name="vPro_minutes_lost_per_day">'Productivity'!#REF!</definedName>
    <definedName name="vPro_minutes_per_call">'Assumptions'!#REF!</definedName>
    <definedName name="vPro_minutes_per_compute_incident">'Assumptions'!#REF!</definedName>
    <definedName name="vPro_minutes_per_day_restriction">'Assumptions'!#REF!</definedName>
    <definedName name="vPro_MinutesServerCongestion">'TCO'!#REF!</definedName>
    <definedName name="vPro_monitor_off_power">'Assumptions'!#REF!</definedName>
    <definedName name="vPro_monitor_running_power">'Assumptions'!#REF!</definedName>
    <definedName name="vPro_monitor_standby_power">'Assumptions'!#REF!</definedName>
    <definedName name="vPro_net_pct_upgrade">'Assumptions'!#REF!</definedName>
    <definedName name="vPro_nonpatch_unscheduled_hours_year">'Assumptions'!#REF!</definedName>
    <definedName name="vPro_num_admins">'Deployment'!#REF!</definedName>
    <definedName name="vPro_num_apps">'TCO'!#REF!</definedName>
    <definedName name="vPro_num_clients">'TCO'!#REF!</definedName>
    <definedName name="vPro_num_compute_incidents_per_day">'Assumptions'!#REF!</definedName>
    <definedName name="vPro_num_inventories_year">'Assumptions'!#REF!</definedName>
    <definedName name="vPro_num_users">'Assumptions'!#REF!</definedName>
    <definedName name="vPro_number_of_access_infrastructure_servers">'Deployment'!#REF!</definedName>
    <definedName name="vPro_number_of_management_servers">'Deployment'!#REF!</definedName>
    <definedName name="vPro_number_of_racks">'Deployment'!#REF!</definedName>
    <definedName name="vPro_patch_manual_hours">'Assumptions'!#REF!</definedName>
    <definedName name="vPro_patch_pct_successful">'Assumptions'!#REF!</definedName>
    <definedName name="vPro_patch_prep_hours">'Assumptions'!#REF!</definedName>
    <definedName name="vPro_patch_remote_hours">'Assumptions'!#REF!</definedName>
    <definedName name="vPro_pct_admins_trained">'Assumptions'!#REF!</definedName>
    <definedName name="vPro_pct_app_replaced">'Assumptions'!#REF!</definedName>
    <definedName name="vPro_pct_apps_ported">'Assumptions'!#REF!</definedName>
    <definedName name="vPro_pct_new_app_Lic">'Assumptions'!#REF!</definedName>
    <definedName name="vPro_porting_hours">'Assumptions'!#REF!</definedName>
    <definedName name="vPro_replacement_cost">'Assumptions'!#REF!</definedName>
    <definedName name="vPro_san_gb_per_user">'Assumptions'!#REF!</definedName>
    <definedName name="vPro_san_storage_per_user">'Assumptions'!#REF!</definedName>
    <definedName name="vPro_scheduled_compliance_year">'Assumptions'!#REF!</definedName>
    <definedName name="vPro_scheduled_patch_year">'Assumptions'!#REF!</definedName>
    <definedName name="vPro_schedults_patch_year">'Assumptions'!#REF!</definedName>
    <definedName name="vPro_server_cooling">'Assumptions'!#REF!</definedName>
    <definedName name="vPro_server_managability_cost">'Assumptions'!#REF!</definedName>
    <definedName name="vPro_server_running_power">'Assumptions'!#REF!</definedName>
    <definedName name="vPro_servers_per_rack">'Assumptions'!#REF!</definedName>
    <definedName name="vPro_sq_feet_per_rack">'Assumptions'!#REF!</definedName>
    <definedName name="vPro_standby_hours_per_day">'Assumptions'!#REF!</definedName>
    <definedName name="vPro_standby_hours_per_holiday">'Assumptions'!#REF!</definedName>
    <definedName name="vPro_total_manageability_cost">'Manageability'!#REF!</definedName>
    <definedName name="vPro_unscheduled_patch_year">'Assumptions'!#REF!</definedName>
    <definedName name="vPro_upgrade_cycle">'TCO'!#REF!</definedName>
    <definedName name="vPro_user_training_hours">'Assumptions'!#REF!</definedName>
    <definedName name="vPro_user_training_max">'Assumptions'!#REF!</definedName>
    <definedName name="vPro_uses_blades">'Assumptions'!#REF!</definedName>
    <definedName name="vPro_wiring_cost_per_rack">'Assumptions'!#REF!</definedName>
    <definedName name="vPro_work_hours_per_day">'Assumptions'!#REF!</definedName>
    <definedName name="vPro_workdays_per_week">'Assumptions'!#REF!</definedName>
    <definedName name="vPro_workdays_per_year">'Assumptions'!#REF!</definedName>
  </definedNames>
  <calcPr fullCalcOnLoad="1"/>
</workbook>
</file>

<file path=xl/sharedStrings.xml><?xml version="1.0" encoding="utf-8"?>
<sst xmlns="http://schemas.openxmlformats.org/spreadsheetml/2006/main" count="873" uniqueCount="400">
  <si>
    <t>Productive minutes lost due to failures and other IT issues per day (average)</t>
  </si>
  <si>
    <t>Productive minutes lost due to rebooting per day (average)</t>
  </si>
  <si>
    <t>Productivity</t>
  </si>
  <si>
    <t>Maximum number of servers an FTE can support</t>
  </si>
  <si>
    <t>Average IT time required to delete a client (minutes)</t>
  </si>
  <si>
    <t>Average IT time required to add a client (minutes)</t>
  </si>
  <si>
    <t>Average IT time required to move a client (minutes)</t>
  </si>
  <si>
    <t>Average time per incident, minutes</t>
  </si>
  <si>
    <t>Number of help desk calls per year per client</t>
  </si>
  <si>
    <t>Average time per client for manual patching to remediate patch failure or miss, hours</t>
  </si>
  <si>
    <t>Average cost of manual inventory per client (hours)</t>
  </si>
  <si>
    <t>Average cost of remote inventory per client (hours)</t>
  </si>
  <si>
    <t>Success rate of remote asset inventory</t>
  </si>
  <si>
    <t>Manageability</t>
  </si>
  <si>
    <t xml:space="preserve">Average cost of power per KW/H </t>
  </si>
  <si>
    <t>Watts of cooling power needed per watt of computing power (typically between 0.8 and 1.5)</t>
  </si>
  <si>
    <t>Single monitor power while turned off (watts)</t>
  </si>
  <si>
    <t>Single monitor power while in standby (watts)</t>
  </si>
  <si>
    <t>Single monitor power while running (watts)</t>
  </si>
  <si>
    <t xml:space="preserve">Single client power consumption while turned off (watts) </t>
  </si>
  <si>
    <t>Annual cost of other manageability costs</t>
  </si>
  <si>
    <t xml:space="preserve">Client application replacement purchases </t>
  </si>
  <si>
    <t xml:space="preserve">Single client power consumption while in standby (watts) </t>
  </si>
  <si>
    <t>Annual cost of other client management functions</t>
  </si>
  <si>
    <t>Client application porting: Recoding, installation, and testing</t>
  </si>
  <si>
    <t>Single client power consumption while running (watts)</t>
  </si>
  <si>
    <t>Annual cost of managing all servers</t>
  </si>
  <si>
    <t>Power</t>
  </si>
  <si>
    <t>Other manageability costs</t>
  </si>
  <si>
    <t>Training costs total</t>
  </si>
  <si>
    <t>Annual cost of compliance for all clients</t>
  </si>
  <si>
    <t>IT training: Total cost</t>
  </si>
  <si>
    <t>IT training: Other expenses (e.g., travel)</t>
  </si>
  <si>
    <t>Annual cost of compliance per client</t>
  </si>
  <si>
    <t>User training: Total cost</t>
  </si>
  <si>
    <t>Compliance</t>
  </si>
  <si>
    <t>User training: Base cost (IT staff time)</t>
  </si>
  <si>
    <t>IT training: Hours each admin spends in training</t>
  </si>
  <si>
    <t>Annual cost of unscheduled security for all clients</t>
  </si>
  <si>
    <t>User training: Hours each worker spends in training</t>
  </si>
  <si>
    <t>Cost of unscheduled IT time per client per year</t>
  </si>
  <si>
    <t>Implementation costs total</t>
  </si>
  <si>
    <t>Security</t>
  </si>
  <si>
    <t>Outside consultants, special contractors</t>
  </si>
  <si>
    <t>Internal staff (planning and implementation)</t>
  </si>
  <si>
    <t>Implementation costs</t>
  </si>
  <si>
    <t>Cost to delete all clients</t>
  </si>
  <si>
    <t>Servers per rack</t>
  </si>
  <si>
    <t>Cost to add all clients</t>
  </si>
  <si>
    <t>Physical costs total</t>
  </si>
  <si>
    <t>Management software, cost per client</t>
  </si>
  <si>
    <t>Cost to move all clients</t>
  </si>
  <si>
    <t>If this platform requires a SAN, how much storage per user? (GB)</t>
  </si>
  <si>
    <t>Cost to delete a single client</t>
  </si>
  <si>
    <t>N/A</t>
  </si>
  <si>
    <t>Cost per blade enclosure</t>
  </si>
  <si>
    <t>Cost to add a single client</t>
  </si>
  <si>
    <t>Cost to move a single client</t>
  </si>
  <si>
    <t>Cost of total power per year</t>
  </si>
  <si>
    <t>Management software</t>
  </si>
  <si>
    <t>Annual cost of support</t>
  </si>
  <si>
    <t>Square feet per rack</t>
  </si>
  <si>
    <t>Total time spent (hours)</t>
  </si>
  <si>
    <t>Total number of calls</t>
  </si>
  <si>
    <t>Fully loaded cost of racks</t>
  </si>
  <si>
    <t>Support</t>
  </si>
  <si>
    <t>Cost of management servers</t>
  </si>
  <si>
    <t xml:space="preserve">Total </t>
  </si>
  <si>
    <t>Consulting/contractor hours (proportional to number of servers)</t>
  </si>
  <si>
    <t>Cost of access infrastructure servers</t>
  </si>
  <si>
    <t>Minimum number of management servers</t>
  </si>
  <si>
    <t>Annual cost for all patch distributions</t>
  </si>
  <si>
    <t>Number of racks</t>
  </si>
  <si>
    <t>Productivity lost for the entire upgrade cycle</t>
  </si>
  <si>
    <t>Number of clients per management server</t>
  </si>
  <si>
    <t>Total cost for a single distribution</t>
  </si>
  <si>
    <t>Estimated number of servers (access infrastructure and management)</t>
  </si>
  <si>
    <t>Number of management servers</t>
  </si>
  <si>
    <t>Manageability for the entire upgrade cycle</t>
  </si>
  <si>
    <t>Minimum number of access infrastructure servers</t>
  </si>
  <si>
    <t>Cost per deployment for manual patching</t>
  </si>
  <si>
    <t>Number of access infrastructure servers</t>
  </si>
  <si>
    <t>Power for the entire upgrade cycle</t>
  </si>
  <si>
    <t>Number of clients per access infrastructure server</t>
  </si>
  <si>
    <t>Cost per deployment for automated patching</t>
  </si>
  <si>
    <t>Server costs</t>
  </si>
  <si>
    <t>Cost per deployment for patch preparation</t>
  </si>
  <si>
    <t>Cost of power consumed by the monitors per year</t>
  </si>
  <si>
    <t xml:space="preserve">TCO breakdown </t>
  </si>
  <si>
    <t>Average monitor cost</t>
  </si>
  <si>
    <t>Total annual patch distributions</t>
  </si>
  <si>
    <t>Average client cost</t>
  </si>
  <si>
    <t>Patch management</t>
  </si>
  <si>
    <t>Cost per management server</t>
  </si>
  <si>
    <t>Annual cost of inventory</t>
  </si>
  <si>
    <t>Productivity lost per year</t>
  </si>
  <si>
    <t>Cost per access infrastructure server</t>
  </si>
  <si>
    <t>Cost of nonproductive time across all employees per day</t>
  </si>
  <si>
    <t>Total cost for a single inventory</t>
  </si>
  <si>
    <t>Client application licenses</t>
  </si>
  <si>
    <t>Manageability per year</t>
  </si>
  <si>
    <t>Deployment</t>
  </si>
  <si>
    <t>Cost of nonproductive time per employee per day</t>
  </si>
  <si>
    <t>Cost per inventory for manual inventory</t>
  </si>
  <si>
    <t>Access infrastructure framework licenses</t>
  </si>
  <si>
    <t>Power per year</t>
  </si>
  <si>
    <t>Percent of productive time lost</t>
  </si>
  <si>
    <t>Cost per inventory for remote inventory</t>
  </si>
  <si>
    <t>Monitors</t>
  </si>
  <si>
    <t>One year's annualized deployment cost</t>
  </si>
  <si>
    <t>Data center space, cost per square foot per year</t>
  </si>
  <si>
    <t>Number of clients inventoried manually</t>
  </si>
  <si>
    <t>Client seats</t>
  </si>
  <si>
    <t>Number of clients inventoried remotely</t>
  </si>
  <si>
    <t>Cost of power consumed by the clients per year</t>
  </si>
  <si>
    <t>Average rate for outside consultants (hourly)</t>
  </si>
  <si>
    <t xml:space="preserve">Inventory </t>
  </si>
  <si>
    <t>Number of supported applications</t>
  </si>
  <si>
    <t>Average burdened salary for IT staff (hourly)</t>
  </si>
  <si>
    <t>Total productive minutes lost per day on average</t>
  </si>
  <si>
    <t xml:space="preserve">Upgrade cycle (years) </t>
  </si>
  <si>
    <t>Average burdened salary for end-users (hourly)</t>
  </si>
  <si>
    <t>Productive minutes lost during compute-intensive tasks per day (average)</t>
  </si>
  <si>
    <t>Total manageability cost</t>
  </si>
  <si>
    <t>Total clients in enterprise considered for conversion or upgrade</t>
  </si>
  <si>
    <t>Workdays per year</t>
  </si>
  <si>
    <t>Productive minutes lost due to server congestion per day (average)</t>
  </si>
  <si>
    <t>Annual cost of security for all clients</t>
  </si>
  <si>
    <t>TCO for all clients for the upgrade cycle</t>
  </si>
  <si>
    <t>TCO per client for the upgrade cycle</t>
  </si>
  <si>
    <t>Number of new application licenses needed</t>
  </si>
  <si>
    <t>Productive minutes lost per day</t>
  </si>
  <si>
    <t>Annual costs for all clients</t>
  </si>
  <si>
    <t>Highest percentage of clients that will connect simultaneously</t>
  </si>
  <si>
    <t>Cost of power</t>
  </si>
  <si>
    <t>Annual costs per client</t>
  </si>
  <si>
    <t>Platform name</t>
  </si>
  <si>
    <t xml:space="preserve"> Productivity summary</t>
  </si>
  <si>
    <t>Manageability summary</t>
  </si>
  <si>
    <t>Power summary</t>
  </si>
  <si>
    <t>Virtual hosted desktop</t>
  </si>
  <si>
    <t xml:space="preserve">Single blade power consumption while turned off (watts) </t>
  </si>
  <si>
    <t xml:space="preserve">Single blade power consumption while in standby (watts) </t>
  </si>
  <si>
    <t>Single blade power consumption while running (watts)</t>
  </si>
  <si>
    <t>Cost of power consumed by the blades per year</t>
  </si>
  <si>
    <t>Cost of racks</t>
  </si>
  <si>
    <t>Cost of enclosures</t>
  </si>
  <si>
    <t>Cost of blades</t>
  </si>
  <si>
    <t>Number of enclosures</t>
  </si>
  <si>
    <t>Number of blades</t>
  </si>
  <si>
    <t>Blade PC desktop</t>
  </si>
  <si>
    <t>NA</t>
  </si>
  <si>
    <t>Terminal/
Presentation 
server</t>
  </si>
  <si>
    <t>Typically  managed rich desktop</t>
  </si>
  <si>
    <t>General information</t>
  </si>
  <si>
    <t>Minutes lost due to restrictions of the environment (e.g., things user cannot do) per day (average)</t>
  </si>
  <si>
    <t>Deployment (one-time costs)</t>
  </si>
  <si>
    <t>Additional physical storage required</t>
  </si>
  <si>
    <t>Annual cost of move/add/delete</t>
  </si>
  <si>
    <t>Move/add/delete</t>
  </si>
  <si>
    <t>Per-client cost of all access infrastructure licenses</t>
  </si>
  <si>
    <t>Per-client application license cost</t>
  </si>
  <si>
    <t>Per-client cost for network upgrade</t>
  </si>
  <si>
    <t xml:space="preserve">Average per-client cost to replace an application </t>
  </si>
  <si>
    <t>Per-client annual cost for miscellaneous management functions</t>
  </si>
  <si>
    <t>Percentage of IT staff trained</t>
  </si>
  <si>
    <t>Percentage of clients successfully patched remotely</t>
  </si>
  <si>
    <t>Percentage of clients moved per year</t>
  </si>
  <si>
    <t>Number of asset inventories per year</t>
  </si>
  <si>
    <t xml:space="preserve">Number of regularly scheduled patch distributions per year (usually monthly) </t>
  </si>
  <si>
    <t>Number of annual unscheduled patch distributions (usually in response to virus threat)</t>
  </si>
  <si>
    <t>IT hours per client per year on unscheduled security tasks</t>
  </si>
  <si>
    <t>IT hours per client per year on scheduled compliance tasks (Note: Certain compliance tasks may be included in the security section above.)</t>
  </si>
  <si>
    <t>Per-server annual manageability cost</t>
  </si>
  <si>
    <t xml:space="preserve">Minutes lost due to restrictions of the environment (e.g., things user cannot do) (average) </t>
  </si>
  <si>
    <t>Minutes per day lost due to compute-intensive tasks (average)</t>
  </si>
  <si>
    <t>Number of times per day compute-intensive tasks occur (average)</t>
  </si>
  <si>
    <t>TCO summary - includes lost productivity cost</t>
  </si>
  <si>
    <t>TCO summary - excludes lost productivity cost</t>
  </si>
  <si>
    <t>Main parameters - default values</t>
  </si>
  <si>
    <t>Average hours client is on per work day</t>
  </si>
  <si>
    <t>Average hours client is in standby per work day</t>
  </si>
  <si>
    <t>Average hours client is in standby per non-work day</t>
  </si>
  <si>
    <t>Average hours client is on per non-work day (weekends and holidays)</t>
  </si>
  <si>
    <t>Average number hours client is in standby per year</t>
  </si>
  <si>
    <t>Average number hours client is on per year</t>
  </si>
  <si>
    <t>Average number hours client is off per year</t>
  </si>
  <si>
    <t xml:space="preserve"> </t>
  </si>
  <si>
    <t>Average hours blade is on per work day</t>
  </si>
  <si>
    <t>Average hours blade is in standby per work day</t>
  </si>
  <si>
    <t>Average hours blade is on per non-work day (weekends and holidays)</t>
  </si>
  <si>
    <t>Average hours blade is in standby per non-work day</t>
  </si>
  <si>
    <t>Average number hours blade is on per year</t>
  </si>
  <si>
    <t>Average number hours blade is in standby per year</t>
  </si>
  <si>
    <t>Average number hours blade is off per year</t>
  </si>
  <si>
    <t>Number of clients per access infrastructure server*</t>
  </si>
  <si>
    <t>36**</t>
  </si>
  <si>
    <t>Productive minutes lost due to performance per day (average)***</t>
  </si>
  <si>
    <t>3.5****</t>
  </si>
  <si>
    <t>Average server cost (weighted average)</t>
  </si>
  <si>
    <t>IT Training: Cost per week</t>
  </si>
  <si>
    <t>IT Training: Cost</t>
  </si>
  <si>
    <t>Time required for patch preparation and testing, man hours (per patch distribution)</t>
  </si>
  <si>
    <t>User training: Maximum number of workers per training session</t>
  </si>
  <si>
    <t>Terminal/ Presentation server</t>
  </si>
  <si>
    <t>TCO DEFAULTS</t>
  </si>
  <si>
    <t>Total power per year information</t>
  </si>
  <si>
    <t>Annual cost of lost productivity</t>
  </si>
  <si>
    <t>Well-managed OS streaming/vPro</t>
  </si>
  <si>
    <t>Well-managed application streaming/vPro</t>
  </si>
  <si>
    <t>We assume an average of 245 workdays per year.</t>
  </si>
  <si>
    <t>Average of access infrastructure and management server costs.</t>
  </si>
  <si>
    <t>Average cost of monitors. This estimate should be the same for all platforms.</t>
  </si>
  <si>
    <t>The average number of clients per management server.</t>
  </si>
  <si>
    <t>Cost per CCI blade</t>
  </si>
  <si>
    <t>Cost of Blade PCs for the Blade PC desktop platform.</t>
  </si>
  <si>
    <t>Cost of the Blade PC enclosure for the PC Blade desktop platform. We assume one blade enclosure for every 20 Blade PC desktops.</t>
  </si>
  <si>
    <t>Additional SAN storage requirements, if any.</t>
  </si>
  <si>
    <t>Total percent of applications requiring replacement</t>
  </si>
  <si>
    <t>Total percent of applications requiring porting</t>
  </si>
  <si>
    <t>Percentage of existing applications that enterprise will need to replace if they adopt this platform.</t>
  </si>
  <si>
    <t>Percentage of applications that require porting if the enterprise adopts this platform.</t>
  </si>
  <si>
    <t>Average number of IT hours required to port an application.</t>
  </si>
  <si>
    <t>Number of hours of training each user will need on the new platform.</t>
  </si>
  <si>
    <t>Number of workers per training session. We use this number in calculating IT costs for user training.</t>
  </si>
  <si>
    <t>Average cost for one week of training for one IT staff member.</t>
  </si>
  <si>
    <t>Any additional costs for training each IT staff member, including travel.</t>
  </si>
  <si>
    <t>Average number of hours per day the client is running in the powered on state.</t>
  </si>
  <si>
    <t>Average number of hours per work day the client is in standby. Power demands and therefore power costs are lower in standby.</t>
  </si>
  <si>
    <t xml:space="preserve">Average number of hours per day clients are powered on during non-work days (weekends and holidays). </t>
  </si>
  <si>
    <t xml:space="preserve">Average number of hours per day clients are on standby on during non-work days (weekends and holidays). </t>
  </si>
  <si>
    <t>Calculation of the average number of hours per year clients are powered on.</t>
  </si>
  <si>
    <t>Calculation of the average number of hours per year the clients are on standby.</t>
  </si>
  <si>
    <t>The average number of hours per year that the clients are neither powered on nor on standby.</t>
  </si>
  <si>
    <t>Success rate refers to the number of client systems the remote management software successfully inventories. The remaining clients require more costly manual inventory.</t>
  </si>
  <si>
    <t>Average number of staff hours required to remotely inventory each client.</t>
  </si>
  <si>
    <t>Average number of staff hours required to manually inventory each client missed by the remote, automated inventory.</t>
  </si>
  <si>
    <t>Success rate refers to the number of client systems the remote management software successfully patches during each patch distribution. The remaining clients require more costly hands-on patching.</t>
  </si>
  <si>
    <t>Percentage of clients moved from one location to another per year.</t>
  </si>
  <si>
    <t>Average percentage of clients added per year</t>
  </si>
  <si>
    <t>Average percentage of clients deleted per year</t>
  </si>
  <si>
    <t>Average number of hours per year IT spends on unscheduled security tasks, such as repairing virus or spyware infections.</t>
  </si>
  <si>
    <t>Average number of hours per year IT spends on compliance tasks such as removing illegal software and fixing license problems.</t>
  </si>
  <si>
    <t>Based on IT average wage and the average number of servers per IT FTE, the annual cost to administer each server.</t>
  </si>
  <si>
    <t>The average hourly rate for consultants.</t>
  </si>
  <si>
    <t>We assume Windows based servers for management tasks.</t>
  </si>
  <si>
    <t>We use the street cost of the respective access infrastructure software. We do not include the cost of the Windows XP operating system on blades as it is included in the blade cost.</t>
  </si>
  <si>
    <t>Square feet of data center space required per rack. We use this value in calculating the data center rent.</t>
  </si>
  <si>
    <t>Average number of hours per day the Blade PC desktop blades are running in the powered on state.</t>
  </si>
  <si>
    <t>Average number of hours per work day the Blade PC desktop blades are in standby. Power demands and therefore power costs are lower in standby.</t>
  </si>
  <si>
    <t xml:space="preserve">Average number of hours per day the Blade PC desktop blades are powered on during non-work days (weekends and holidays). </t>
  </si>
  <si>
    <t xml:space="preserve">Average number of hours per day the Blade PC desktop blades are on standby during non-work days (weekends and holidays). </t>
  </si>
  <si>
    <t>Calculation of the average number of hours per year the Blade PC desktop blades are powered on.</t>
  </si>
  <si>
    <t>Calculation of the average number of hours per year the Blade PC desktop blades are on standby.</t>
  </si>
  <si>
    <t>The average number of hours per year that the Blade PC desktop blades are neither powered on nor on standby.</t>
  </si>
  <si>
    <t>The number of times per year the typical user contacts the help desk with a hardware or software support issue.</t>
  </si>
  <si>
    <t>Average cost (in minutes) to delete a client. This includes safely disposing of the client and other tasks.</t>
  </si>
  <si>
    <t>Maximum number of access infrastructure and managements servers a typical IT FTE can manage.</t>
  </si>
  <si>
    <t>This is an optional field that allows users to enter the productivity costs of other IT related issues.</t>
  </si>
  <si>
    <t>Number of IT staff</t>
  </si>
  <si>
    <t>We assume that the companies are upgrading equipment only and have existing software licenses, so this number is zero.</t>
  </si>
  <si>
    <t>The average hourly burdened rate of IT staff including benefits.</t>
  </si>
  <si>
    <t>Enter this number on the TCO tab. It is repeated here for clarity.</t>
  </si>
  <si>
    <t>Cost per client for remote network or WAN improvements and network optimization technologies. Used in calculating network improvement costs.</t>
  </si>
  <si>
    <t xml:space="preserve">Calculates the average number of weeks of training from the hours of training number and multiplies that by the weekly cost of training. </t>
  </si>
  <si>
    <t>Typically managed rich desktop</t>
  </si>
  <si>
    <t xml:space="preserve">This cost includes server hardware and accessories as well as the street cost of server operating system (either Microsoft Windows Server 2003 or a VMware ESX Server 3.0, dual processor license). Enter N/A for platforms, such as rich desktops and Blade PC desktops, which do not require access infrastructure servers. </t>
  </si>
  <si>
    <t xml:space="preserve">Average number of hours of training each IT staff member will need on the new platform, including training on the client platform, server administration, and management software. </t>
  </si>
  <si>
    <t>Number of regularly scheduled software patches and updates scheduled per year. We assume monthly patching with each patch bundling patches for numerous applications. More frequent patching would be unlikely for typically managed platforms where each patch distribution requires multiple weeks of effort. Well-managed platforms would typically have more patch distributions with fewer individual patches per distribution. To allow fair comparison among platforms, we use the same number of patch distributions for each platform.</t>
  </si>
  <si>
    <t>This is an optional field. Use it if you want to include costs related to rebooting in your calculations. We choose to calculate productive time lost based solely on conservative estimates of lost user productivity due to server congestion or blade slowness.</t>
  </si>
  <si>
    <t>Annual cost breakdown</t>
  </si>
  <si>
    <t>We assume that certain technologies such as application streaming allow companies to use fewer copies of software.</t>
  </si>
  <si>
    <t>The average hourly burdened rate of end users including benefits.</t>
  </si>
  <si>
    <t>This includes the hardware and operating system cost of the clients. In the case of OS streaming, we have subtracted the cost of the hard drive. The thin clients tested include Wyse Linux. The HP CCI blades tested include the Windows XP licenses.</t>
  </si>
  <si>
    <t>Enter a value here if your platform requires a fixed number of servers in addition to the servers calculated using the per-client estimate on the previous line.</t>
  </si>
  <si>
    <t>We use a per-server estimate of the number of consulting hours required for the deployment.</t>
  </si>
  <si>
    <t>We use a per-server estimate of the required number of IT hours required for the deployment.</t>
  </si>
  <si>
    <t>We use a single estimated street cost for all client applications. The percentage of licenses needed is entered in the "Number of new application licenses" row above.</t>
  </si>
  <si>
    <t>Cost per client for the software used to manage the clients. These costs range from least expensive for thin clients to most expensive for vPro third-party applications.</t>
  </si>
  <si>
    <t>Average per-client cost to replace an application.</t>
  </si>
  <si>
    <t>Percentage of IT staff involved in the upgrade process who require training on the new platform.</t>
  </si>
  <si>
    <t>Watts consumed by the client when running. We measured this value for the clients in the test bed.</t>
  </si>
  <si>
    <t>Watts consumed by the client when on standby. We measured this value for the clients in the test bed.</t>
  </si>
  <si>
    <t>Watts consumed by the client when turned off. We measured this value for the clients in the test bed.</t>
  </si>
  <si>
    <t>We assume the same power states of the monitor and client. This field defines the average watts consumed by the monitors when powered on. We measured this value for the clients in the test beds.</t>
  </si>
  <si>
    <t>Average watts consumed by the monitors in standby. We measured this value for the clients in the test bed.</t>
  </si>
  <si>
    <t>Average watts consumed by the monitors when turned off. We measured this value for the clients in the test bed.</t>
  </si>
  <si>
    <t>Average watts consumed by each Blade PC desktop blades when in standby. We measured this value for the clients in the test bed.</t>
  </si>
  <si>
    <t>Average watts consumed by each Blade PC desktop blades when turned off. We measured this value for the clients in the test bed.</t>
  </si>
  <si>
    <t>Average watts consumed by the Blade PC desktop blades when turned off. We measured this value for the clients in the test bed.</t>
  </si>
  <si>
    <t>Watts of cooling power needed per watt of computing power (typically between 0.8 and 1.5). We estimate 1 watt of cooling power for each watt of computing power.</t>
  </si>
  <si>
    <t>Number of asset inventories per year. We assume monthly inventories. More frequent inventories would be unlikely for typically managed platforms where each inventory requires multiple days or weeks of effort. Well-managed platforms would typically run more inventories. To allow fair comparison among platforms, we use the same number of inventories for each platform.</t>
  </si>
  <si>
    <t>Number of unscheduled software patches and updates per year. Time-critical patches such as patches for fast-spreading viruses require out-of-cycle patching.</t>
  </si>
  <si>
    <t>Number of IT hours required to put together and test each patch distribution for a 10,000-user environment. We assume smaller environments have fewer applications. Therefore, we automatically adjust this number accordingly in our calculations.</t>
  </si>
  <si>
    <t>Number of IT hours required to run a typical patch distribution.</t>
  </si>
  <si>
    <t>Average number of hours required to remediate a client that remote patch distribution has failed to patch.</t>
  </si>
  <si>
    <t>Average number of minutes required to fix the support problem. This cost is higher for platforms that require more frequent or lengthier desk-side visits to resolve problems. Hardware problems typically require more desk-side visits so platforms more prone to hardware problems see higher costs here.</t>
  </si>
  <si>
    <t>Percentage of clients added per year. To calculate this value we divide 100 percent by the Upgrade cycle (years) from the TCO tab.</t>
  </si>
  <si>
    <t>Average cost (in minutes) to move a client. This includes setup, time to location, and other tasks.</t>
  </si>
  <si>
    <t>Average cost (in minutes) to add a client. This includes client setup, server account setup. and other tasks.</t>
  </si>
  <si>
    <t>This is an optional field. Use it if you want to include other annual per-client management costs that are not included in any of the above costs.</t>
  </si>
  <si>
    <t>Productive minutes lost due to server congestion per day (average). We base our estimate on performance testing we did on 10-client test beds for each platform.</t>
  </si>
  <si>
    <t xml:space="preserve">This is an optional field. Enter here productive minutes lost because of platform's inability to carry out specific tasks users require. This is the time users spend working around or compensating for platform limitations. For example, if users need to run graphics-intensive applications, they may not be able to run them on server-based platforms. </t>
  </si>
  <si>
    <t>Enter here average time in minutes lost per client per day on compute-intensive tasks on the desktop systems. In our testing, the Blade PC desktop was slower on compute-intensive tasks than any of the other platforms at all times, even with only one user. This slowness was not a result of server congestion. The Blade PCs available for purchase when we assembled our test bed had significantly lower processor speeds than comparably priced (or less expensive) rich desktops. The next field estimates the number of compute intensive tasks per day affected by this slowdown.</t>
  </si>
  <si>
    <t>The number of compute intensive tasks per day affected by the relative speed of the platform. Enter the cost in seconds of the slowness in the field above. We estimate that the typical user will run compute-intensive tasks 10 times per day.</t>
  </si>
  <si>
    <t>Virtual hosted desktop****</t>
  </si>
  <si>
    <t>Human time required for automated remote batch patch install, hours (per patch distribution)</t>
  </si>
  <si>
    <t>IT staff hours (base)</t>
  </si>
  <si>
    <t>Additional IT staff hours (proportional to number of servers)</t>
  </si>
  <si>
    <t>Number of IT hours required for deployment (not counting server-specific estimate in next line)</t>
  </si>
  <si>
    <t>Average IT hours per application to test an application</t>
  </si>
  <si>
    <t>Number of IT hours required to test each application</t>
  </si>
  <si>
    <t>Average IT hours required to port an application</t>
  </si>
  <si>
    <r>
      <t xml:space="preserve">Main parameters - </t>
    </r>
    <r>
      <rPr>
        <sz val="9"/>
        <color indexed="9"/>
        <rFont val="Calibri"/>
        <family val="2"/>
      </rPr>
      <t>Enter your own numbers here. To restore default values from the table above, press the Restore defaults button to the right.</t>
    </r>
  </si>
  <si>
    <t>`</t>
  </si>
  <si>
    <t>Average number of servers per 42U server rack.</t>
  </si>
  <si>
    <t>Cost of SAN storage (per GB)</t>
  </si>
  <si>
    <t>Port costs per rack (per year)</t>
  </si>
  <si>
    <t>Cost of wiring per rack (per year)</t>
  </si>
  <si>
    <t>Construction costs (for entire upgrade cycle)</t>
  </si>
  <si>
    <t>Port costs (for entire upgrade cycle)</t>
  </si>
  <si>
    <t>Wiring costs (for entire upgrade cycle)</t>
  </si>
  <si>
    <t>Cost of server power per year</t>
  </si>
  <si>
    <t>Server power costs</t>
  </si>
  <si>
    <t xml:space="preserve">Blade power costs </t>
  </si>
  <si>
    <t>Monitor power costs</t>
  </si>
  <si>
    <t>Client power costs</t>
  </si>
  <si>
    <t>Power loss/HVAC factor</t>
  </si>
  <si>
    <t>Loaded cost per rack (KVM, rack parts)</t>
  </si>
  <si>
    <t>Cost per rack, including rack parts, KVM, and other equipment (not including the cost of the servers).</t>
  </si>
  <si>
    <t>Cost per GB of SAN storage. Includes HBAs and wiring.</t>
  </si>
  <si>
    <t>Annual per-rack cost for wiring per year. Estimate $3000 over 10 years.</t>
  </si>
  <si>
    <t>Percentage of client network ports needing to be upgraded</t>
  </si>
  <si>
    <t>Percentage of client network ports that require upgrade. Used in calculating network improvement costs.</t>
  </si>
  <si>
    <t>Single server power while busy (watts)</t>
  </si>
  <si>
    <t xml:space="preserve">Percent time server busy </t>
  </si>
  <si>
    <t xml:space="preserve">Average server power </t>
  </si>
  <si>
    <t>Single server power while idle (watts)</t>
  </si>
  <si>
    <t>Watts consumed by each server when busy.</t>
  </si>
  <si>
    <t>Watts consumed by each server when idle.</t>
  </si>
  <si>
    <t>Average percent of time (per year) that server is busy.</t>
  </si>
  <si>
    <t>Average watts consumed by each server assuming it runs busy the percentage of time specified in row above.</t>
  </si>
  <si>
    <t>*Data center costs from first table are included with the deployment costs on the Deployment tab</t>
  </si>
  <si>
    <t>**Power costs from the second table combine the server and Blade PC  power costs from the Power tab</t>
  </si>
  <si>
    <t>Server and Blade PC power costs (for entire upgrade cycle)**</t>
  </si>
  <si>
    <t>Cost of server and Blade PC power</t>
  </si>
  <si>
    <t>Data center costs (for entire upgrade cycle)</t>
  </si>
  <si>
    <t xml:space="preserve">Wiring costs </t>
  </si>
  <si>
    <t>Port costs</t>
  </si>
  <si>
    <t>Construction costs</t>
  </si>
  <si>
    <t>Data center costs total</t>
  </si>
  <si>
    <t>Server and Blade PC power costs total</t>
  </si>
  <si>
    <t>Data center physical costs*</t>
  </si>
  <si>
    <t>Training costs</t>
  </si>
  <si>
    <t>Data center costs (excluding power costs)</t>
  </si>
  <si>
    <t>Application porting and replacement costs</t>
  </si>
  <si>
    <t>Application porting and replacement costs total</t>
  </si>
  <si>
    <t>Server costs total</t>
  </si>
  <si>
    <t>Desktop client costs total</t>
  </si>
  <si>
    <t>Desktop clients costs total</t>
  </si>
  <si>
    <t>Deployment costs summary</t>
  </si>
  <si>
    <t>Desktop client costs</t>
  </si>
  <si>
    <t>Data center costs (excluding power) total</t>
  </si>
  <si>
    <t xml:space="preserve">Training costs  </t>
  </si>
  <si>
    <t>Blade PC costs</t>
  </si>
  <si>
    <t>Blade PC costs total</t>
  </si>
  <si>
    <t>Deployment costs total</t>
  </si>
  <si>
    <t>Annual per rack port costs. Estimate $300 per GB Ethernet over 4 years and 6 GB Ethernet ports per server.</t>
  </si>
  <si>
    <t>Annual cost for data center space construction (includes HVAC/UPS) depreciated over 15 years.</t>
  </si>
  <si>
    <t>Total power consumed by all servers and Blade PCs (kWh)</t>
  </si>
  <si>
    <t>Total cooling power for servers and Blade PCs (kWh)</t>
  </si>
  <si>
    <t xml:space="preserve">Average cost of power per kWh </t>
  </si>
  <si>
    <t>Average cost per kWh of power. We used a national average.</t>
  </si>
  <si>
    <t>Total power consumed (kWh)</t>
  </si>
  <si>
    <t>Power consumed per year while running by all clients (kWh)</t>
  </si>
  <si>
    <t>Power consumed per year while in standby by all clients (kWh)</t>
  </si>
  <si>
    <t>Power consumed per year while turned off by all clients (kWh)</t>
  </si>
  <si>
    <t>Total power consumed by the clients per year (kWh)</t>
  </si>
  <si>
    <t>Total cooling power for clients per year (kWh)</t>
  </si>
  <si>
    <t>Total client power per year (kWh)</t>
  </si>
  <si>
    <t>Average cost of power per kWh</t>
  </si>
  <si>
    <t>Power consumed per year while running by all monitors (kWh)</t>
  </si>
  <si>
    <t>Power consumed per year while in standby by all monitors (kWh)</t>
  </si>
  <si>
    <t>Power consumed per year while turned off by all monitors (kWh)</t>
  </si>
  <si>
    <t>Total power consumed by the monitors per year (kWh)</t>
  </si>
  <si>
    <t>Total cooling power for monitors per year (kWh)</t>
  </si>
  <si>
    <t>Total monitor power per year (kWh)</t>
  </si>
  <si>
    <t>Power consumed per year while running by all blades (kWh)</t>
  </si>
  <si>
    <t>Power consumed per year while in standby by all blades (kWh)</t>
  </si>
  <si>
    <t>Power consumed per year while turned off by all blades (kWh)</t>
  </si>
  <si>
    <t>Total power consumed by the blades per year (kWh)</t>
  </si>
  <si>
    <t>Total cooling power for blades per year (kWh)</t>
  </si>
  <si>
    <t>Total blade power per year (kWh)</t>
  </si>
  <si>
    <t>Total power consumed by all servers per year (kWh)</t>
  </si>
  <si>
    <t>Total cooling power for servers per year (kWh)</t>
  </si>
  <si>
    <t>Total server power per year (kWh)</t>
  </si>
  <si>
    <t>Total computing power per year: clients, monitors, and servers (kWh)</t>
  </si>
  <si>
    <t>Total cooling power per year (kWh)</t>
  </si>
  <si>
    <t>Total power per year (kWh)</t>
  </si>
  <si>
    <t>Total server and Blade PC power (kWh)</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</si>
</sst>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409]dddd\,\ mmmm\ dd\,\ yyyy"/>
    <numFmt numFmtId="168" formatCode="[$-409]h:mm:ss\ AM/PM"/>
    <numFmt numFmtId="169" formatCode="0.000"/>
    <numFmt numFmtId="170" formatCode="0.0"/>
    <numFmt numFmtId="171" formatCode="&quot;$&quot;#,##0.000"/>
    <numFmt numFmtId="172" formatCode="&quot;$&quot;#,##0.0000"/>
    <numFmt numFmtId="173" formatCode="#,##0.0_);\(#,##0.0\)"/>
    <numFmt numFmtId="174" formatCode="&quot;Yes&quot;;&quot;Yes&quot;;&quot;No&quot;"/>
    <numFmt numFmtId="175" formatCode="&quot;True&quot;;&quot;True&quot;;&quot;False&quot;"/>
    <numFmt numFmtId="176" formatCode="&quot;On&quot;;&quot;On&quot;;&quot;Off&quot;"/>
    <numFmt numFmtId="177" formatCode="[$€-2]\ #,##0.00_);[Red]\([$€-2]\ #,##0.00\)"/>
    <numFmt numFmtId="178" formatCode="_(* #,##0.000_);_(* \(#,##0.000\);_(* &quot;-&quot;??_);_(@_)"/>
    <numFmt numFmtId="179" formatCode="_(* #,##0.0_);_(* \(#,##0.0\);_(* &quot;-&quot;??_);_(@_)"/>
    <numFmt numFmtId="180" formatCode="_(* #,##0_);_(* \(#,##0\);_(* &quot;-&quot;??_);_(@_)"/>
    <numFmt numFmtId="181" formatCode="#,##0.000"/>
    <numFmt numFmtId="182" formatCode="#,##0;[Red]#,##0"/>
    <numFmt numFmtId="183" formatCode="0.000%"/>
    <numFmt numFmtId="184" formatCode="0.0000%"/>
    <numFmt numFmtId="185" formatCode="0.0%"/>
    <numFmt numFmtId="186" formatCode="&quot;$&quot;#,##0.0"/>
    <numFmt numFmtId="187" formatCode="&quot;$&quot;#,##0.0_);[Red]\(&quot;$&quot;#,##0.0\)"/>
  </numFmts>
  <fonts count="75">
    <font>
      <sz val="11"/>
      <color theme="1"/>
      <name val="Calibri"/>
      <family val="2"/>
    </font>
    <font>
      <sz val="11"/>
      <color indexed="8"/>
      <name val="Calibri"/>
      <family val="2"/>
    </font>
    <font>
      <sz val="10"/>
      <name val="Arial"/>
      <family val="2"/>
    </font>
    <font>
      <sz val="9"/>
      <color indexed="8"/>
      <name val="Arial"/>
      <family val="2"/>
    </font>
    <font>
      <b/>
      <sz val="10"/>
      <color indexed="9"/>
      <name val="Arial"/>
      <family val="2"/>
    </font>
    <font>
      <sz val="10"/>
      <color indexed="8"/>
      <name val="Arial"/>
      <family val="2"/>
    </font>
    <font>
      <b/>
      <sz val="10"/>
      <name val="Arial"/>
      <family val="2"/>
    </font>
    <font>
      <b/>
      <sz val="10"/>
      <color indexed="8"/>
      <name val="Arial"/>
      <family val="2"/>
    </font>
    <font>
      <sz val="11"/>
      <color indexed="9"/>
      <name val="Calibri"/>
      <family val="2"/>
    </font>
    <font>
      <b/>
      <sz val="9"/>
      <name val="Arial"/>
      <family val="2"/>
    </font>
    <font>
      <b/>
      <sz val="11"/>
      <color indexed="9"/>
      <name val="Calibri"/>
      <family val="2"/>
    </font>
    <font>
      <b/>
      <sz val="14"/>
      <color indexed="10"/>
      <name val="Arial"/>
      <family val="2"/>
    </font>
    <font>
      <sz val="10"/>
      <name val="Calibri"/>
      <family val="2"/>
    </font>
    <font>
      <sz val="10"/>
      <color indexed="8"/>
      <name val="Calibri"/>
      <family val="2"/>
    </font>
    <font>
      <b/>
      <sz val="10"/>
      <name val="Calibri"/>
      <family val="2"/>
    </font>
    <font>
      <sz val="12"/>
      <color indexed="9"/>
      <name val="Calibri"/>
      <family val="2"/>
    </font>
    <font>
      <b/>
      <sz val="9"/>
      <color indexed="8"/>
      <name val="Arial"/>
      <family val="2"/>
    </font>
    <font>
      <sz val="10"/>
      <color indexed="9"/>
      <name val="Arial"/>
      <family val="2"/>
    </font>
    <font>
      <sz val="9"/>
      <color indexed="9"/>
      <name val="Calibri"/>
      <family val="2"/>
    </font>
    <font>
      <sz val="9"/>
      <color indexed="8"/>
      <name val="Calibri"/>
      <family val="2"/>
    </font>
    <font>
      <b/>
      <sz val="18"/>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color indexed="10"/>
      <name val="Arial"/>
      <family val="2"/>
    </font>
    <font>
      <sz val="10"/>
      <color indexed="10"/>
      <name val="Calibri"/>
      <family val="2"/>
    </font>
    <font>
      <sz val="16"/>
      <color indexed="8"/>
      <name val="Arial"/>
      <family val="2"/>
    </font>
    <font>
      <b/>
      <sz val="12"/>
      <color indexed="8"/>
      <name val="Arial"/>
      <family val="2"/>
    </font>
    <font>
      <b/>
      <sz val="9"/>
      <color indexed="8"/>
      <name val="Calibri"/>
      <family val="2"/>
    </font>
    <font>
      <sz val="10"/>
      <color indexed="9"/>
      <name val="Calibri"/>
      <family val="2"/>
    </font>
    <font>
      <sz val="8"/>
      <color indexed="8"/>
      <name val="Calibri"/>
      <family val="2"/>
    </font>
    <font>
      <u val="single"/>
      <sz val="8"/>
      <color indexed="8"/>
      <name val="Calibri"/>
      <family val="2"/>
    </font>
    <font>
      <b/>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b/>
      <sz val="10"/>
      <color theme="0"/>
      <name val="Arial"/>
      <family val="2"/>
    </font>
    <font>
      <sz val="10"/>
      <color theme="0"/>
      <name val="Arial"/>
      <family val="2"/>
    </font>
    <font>
      <sz val="10"/>
      <color rgb="FF000000"/>
      <name val="Arial"/>
      <family val="2"/>
    </font>
    <font>
      <sz val="9"/>
      <color rgb="FFFF0000"/>
      <name val="Arial"/>
      <family val="2"/>
    </font>
    <font>
      <sz val="10"/>
      <color rgb="FFFF0000"/>
      <name val="Calibri"/>
      <family val="2"/>
    </font>
    <font>
      <sz val="9"/>
      <color theme="1"/>
      <name val="Arial"/>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bottom style="thin"/>
    </border>
    <border>
      <left/>
      <right/>
      <top/>
      <bottom style="thin">
        <color indexed="22"/>
      </bottom>
    </border>
    <border>
      <left/>
      <right/>
      <top style="thin"/>
      <bottom style="thin"/>
    </border>
    <border>
      <left/>
      <right/>
      <top style="thin"/>
      <bottom/>
    </border>
    <border>
      <left style="thin"/>
      <right style="thin"/>
      <top style="thin">
        <color indexed="18"/>
      </top>
      <bottom style="thin"/>
    </border>
    <border>
      <left style="thin"/>
      <right style="thin"/>
      <top style="thin"/>
      <bottom/>
    </border>
    <border>
      <left style="thin"/>
      <right style="thin"/>
      <top style="thin"/>
      <bottom style="thin">
        <color indexed="18"/>
      </bottom>
    </border>
    <border>
      <left style="thin"/>
      <right/>
      <top/>
      <bottom style="thin"/>
    </border>
    <border>
      <left style="thin">
        <color indexed="18"/>
      </left>
      <right style="thin"/>
      <top style="thin"/>
      <bottom/>
    </border>
    <border>
      <left style="thin"/>
      <right/>
      <top style="thin"/>
      <bottom style="thin"/>
    </border>
    <border>
      <left style="thin"/>
      <right style="thin">
        <color indexed="18"/>
      </right>
      <top style="thin"/>
      <bottom style="thin"/>
    </border>
    <border>
      <left style="thin">
        <color indexed="18"/>
      </left>
      <right style="thin"/>
      <top style="thin"/>
      <bottom style="thin"/>
    </border>
    <border>
      <left/>
      <right style="thin"/>
      <top/>
      <bottom/>
    </border>
    <border>
      <left style="thin"/>
      <right style="thin"/>
      <top>
        <color indexed="63"/>
      </top>
      <bottom style="thin"/>
    </border>
    <border>
      <left style="thin"/>
      <right style="thin"/>
      <top>
        <color indexed="63"/>
      </top>
      <bottom>
        <color indexed="63"/>
      </bottom>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55">
    <xf numFmtId="0" fontId="0" fillId="0" borderId="0" xfId="0" applyFont="1" applyAlignment="1">
      <alignment/>
    </xf>
    <xf numFmtId="0" fontId="2" fillId="0" borderId="0" xfId="60" applyProtection="1">
      <alignment/>
      <protection hidden="1"/>
    </xf>
    <xf numFmtId="0" fontId="2" fillId="0" borderId="0" xfId="60" applyAlignment="1" applyProtection="1">
      <alignment horizontal="center"/>
      <protection hidden="1"/>
    </xf>
    <xf numFmtId="0" fontId="0" fillId="0" borderId="0" xfId="0" applyAlignment="1" applyProtection="1">
      <alignment/>
      <protection hidden="1"/>
    </xf>
    <xf numFmtId="0" fontId="3" fillId="0" borderId="0" xfId="60" applyFont="1" applyProtection="1">
      <alignment/>
      <protection hidden="1"/>
    </xf>
    <xf numFmtId="0" fontId="10" fillId="20" borderId="10" xfId="33" applyFont="1" applyBorder="1" applyAlignment="1" applyProtection="1">
      <alignment/>
      <protection hidden="1"/>
    </xf>
    <xf numFmtId="0" fontId="10" fillId="20" borderId="11" xfId="33" applyFont="1" applyBorder="1" applyAlignment="1" applyProtection="1">
      <alignment/>
      <protection hidden="1"/>
    </xf>
    <xf numFmtId="0" fontId="10" fillId="20" borderId="11" xfId="33" applyFont="1" applyBorder="1" applyAlignment="1" applyProtection="1">
      <alignment horizontal="center"/>
      <protection hidden="1"/>
    </xf>
    <xf numFmtId="0" fontId="2" fillId="0" borderId="0" xfId="60" applyAlignment="1" applyProtection="1">
      <alignment wrapText="1"/>
      <protection hidden="1"/>
    </xf>
    <xf numFmtId="0" fontId="10" fillId="20" borderId="10" xfId="33" applyFont="1" applyBorder="1" applyAlignment="1" applyProtection="1">
      <alignment wrapText="1"/>
      <protection hidden="1"/>
    </xf>
    <xf numFmtId="0" fontId="10" fillId="20" borderId="10" xfId="33" applyNumberFormat="1" applyFont="1" applyBorder="1" applyAlignment="1" applyProtection="1">
      <alignment horizontal="right" wrapText="1"/>
      <protection hidden="1"/>
    </xf>
    <xf numFmtId="0" fontId="10" fillId="20" borderId="10" xfId="33" applyFont="1" applyBorder="1" applyAlignment="1" applyProtection="1">
      <alignment horizontal="right" wrapText="1"/>
      <protection hidden="1"/>
    </xf>
    <xf numFmtId="0" fontId="3" fillId="0" borderId="0" xfId="60" applyFont="1" applyAlignment="1" applyProtection="1">
      <alignment wrapText="1"/>
      <protection hidden="1"/>
    </xf>
    <xf numFmtId="0" fontId="0" fillId="0" borderId="0" xfId="0" applyAlignment="1" applyProtection="1">
      <alignment wrapText="1"/>
      <protection hidden="1"/>
    </xf>
    <xf numFmtId="0" fontId="10" fillId="20" borderId="10" xfId="33" applyFont="1" applyBorder="1" applyAlignment="1" applyProtection="1">
      <alignment/>
      <protection hidden="1"/>
    </xf>
    <xf numFmtId="165" fontId="10" fillId="20" borderId="10" xfId="33" applyNumberFormat="1" applyFont="1" applyBorder="1" applyAlignment="1" applyProtection="1">
      <alignment horizontal="right"/>
      <protection hidden="1"/>
    </xf>
    <xf numFmtId="165" fontId="10" fillId="20" borderId="10" xfId="33" applyNumberFormat="1" applyFont="1" applyBorder="1" applyAlignment="1" applyProtection="1">
      <alignment/>
      <protection hidden="1"/>
    </xf>
    <xf numFmtId="0" fontId="12" fillId="0" borderId="0" xfId="60" applyFont="1" applyProtection="1">
      <alignment/>
      <protection hidden="1"/>
    </xf>
    <xf numFmtId="0" fontId="48" fillId="20" borderId="10" xfId="33" applyNumberFormat="1" applyFont="1" applyBorder="1" applyAlignment="1" applyProtection="1">
      <alignment vertical="center" wrapText="1"/>
      <protection hidden="1"/>
    </xf>
    <xf numFmtId="0" fontId="8" fillId="20" borderId="10" xfId="33" applyNumberFormat="1" applyFont="1" applyBorder="1" applyAlignment="1" applyProtection="1">
      <alignment horizontal="center" vertical="center" wrapText="1"/>
      <protection hidden="1"/>
    </xf>
    <xf numFmtId="0" fontId="48" fillId="20" borderId="10" xfId="33" applyNumberFormat="1" applyFont="1" applyBorder="1" applyAlignment="1" applyProtection="1">
      <alignment horizontal="center" vertical="center" wrapText="1"/>
      <protection hidden="1"/>
    </xf>
    <xf numFmtId="0" fontId="5" fillId="33" borderId="10" xfId="33" applyFont="1" applyFill="1" applyBorder="1" applyAlignment="1" applyProtection="1">
      <alignment vertical="top" wrapText="1"/>
      <protection hidden="1"/>
    </xf>
    <xf numFmtId="3" fontId="66" fillId="34" borderId="10" xfId="33" applyNumberFormat="1" applyFont="1" applyFill="1" applyBorder="1" applyAlignment="1" applyProtection="1">
      <alignment/>
      <protection hidden="1"/>
    </xf>
    <xf numFmtId="3" fontId="66" fillId="34" borderId="10" xfId="33" applyNumberFormat="1" applyFont="1" applyFill="1" applyBorder="1" applyAlignment="1" applyProtection="1">
      <alignment horizontal="right"/>
      <protection hidden="1"/>
    </xf>
    <xf numFmtId="0" fontId="66" fillId="34" borderId="10" xfId="33" applyFont="1" applyFill="1" applyBorder="1" applyAlignment="1" applyProtection="1">
      <alignment/>
      <protection hidden="1"/>
    </xf>
    <xf numFmtId="0" fontId="2" fillId="35" borderId="10" xfId="60" applyFont="1" applyFill="1" applyBorder="1" applyAlignment="1" applyProtection="1">
      <alignment horizontal="left"/>
      <protection hidden="1"/>
    </xf>
    <xf numFmtId="1" fontId="66" fillId="34" borderId="10" xfId="41" applyNumberFormat="1" applyFont="1" applyFill="1" applyBorder="1" applyAlignment="1" applyProtection="1">
      <alignment/>
      <protection hidden="1"/>
    </xf>
    <xf numFmtId="3" fontId="66" fillId="34" borderId="10" xfId="41" applyNumberFormat="1" applyFont="1" applyFill="1" applyBorder="1" applyAlignment="1" applyProtection="1">
      <alignment horizontal="right"/>
      <protection hidden="1"/>
    </xf>
    <xf numFmtId="164" fontId="66" fillId="34" borderId="10" xfId="41" applyNumberFormat="1" applyFont="1" applyFill="1" applyBorder="1" applyAlignment="1" applyProtection="1">
      <alignment horizontal="right"/>
      <protection hidden="1"/>
    </xf>
    <xf numFmtId="0" fontId="66" fillId="34" borderId="10" xfId="41" applyFont="1" applyFill="1" applyBorder="1" applyAlignment="1" applyProtection="1">
      <alignment horizontal="right"/>
      <protection hidden="1"/>
    </xf>
    <xf numFmtId="0" fontId="2" fillId="0" borderId="0" xfId="60" applyFill="1" applyBorder="1" applyProtection="1">
      <alignment/>
      <protection hidden="1"/>
    </xf>
    <xf numFmtId="49" fontId="2" fillId="0" borderId="10" xfId="60" applyNumberFormat="1" applyFont="1" applyBorder="1" applyAlignment="1" applyProtection="1">
      <alignment horizontal="left" vertical="top" wrapText="1"/>
      <protection hidden="1"/>
    </xf>
    <xf numFmtId="0" fontId="2" fillId="0" borderId="0" xfId="60" applyBorder="1" applyProtection="1">
      <alignment/>
      <protection hidden="1"/>
    </xf>
    <xf numFmtId="0" fontId="48" fillId="20" borderId="10" xfId="33" applyNumberFormat="1" applyBorder="1" applyAlignment="1" applyProtection="1">
      <alignment vertical="center" wrapText="1"/>
      <protection hidden="1"/>
    </xf>
    <xf numFmtId="0" fontId="48" fillId="20" borderId="10" xfId="33" applyNumberFormat="1" applyBorder="1" applyAlignment="1" applyProtection="1">
      <alignment horizontal="center" vertical="center" wrapText="1"/>
      <protection hidden="1"/>
    </xf>
    <xf numFmtId="0" fontId="2" fillId="33" borderId="10" xfId="60" applyFont="1" applyFill="1" applyBorder="1" applyProtection="1">
      <alignment/>
      <protection hidden="1"/>
    </xf>
    <xf numFmtId="165" fontId="2" fillId="0" borderId="10" xfId="60" applyNumberFormat="1" applyFont="1" applyBorder="1" applyProtection="1">
      <alignment/>
      <protection hidden="1"/>
    </xf>
    <xf numFmtId="165" fontId="2" fillId="33" borderId="10" xfId="60" applyNumberFormat="1" applyFont="1" applyFill="1" applyBorder="1" applyProtection="1">
      <alignment/>
      <protection hidden="1"/>
    </xf>
    <xf numFmtId="0" fontId="2" fillId="0" borderId="10" xfId="60" applyFont="1" applyBorder="1" applyProtection="1">
      <alignment/>
      <protection hidden="1"/>
    </xf>
    <xf numFmtId="0" fontId="10" fillId="0" borderId="0" xfId="33" applyFont="1" applyFill="1" applyBorder="1" applyAlignment="1" applyProtection="1">
      <alignment/>
      <protection hidden="1"/>
    </xf>
    <xf numFmtId="0" fontId="10" fillId="0" borderId="0" xfId="33" applyFont="1" applyFill="1" applyBorder="1" applyAlignment="1" applyProtection="1">
      <alignment horizontal="center"/>
      <protection hidden="1"/>
    </xf>
    <xf numFmtId="0" fontId="3" fillId="0" borderId="0" xfId="60" applyFont="1" applyFill="1" applyBorder="1" applyProtection="1">
      <alignment/>
      <protection hidden="1"/>
    </xf>
    <xf numFmtId="0" fontId="0" fillId="0" borderId="0" xfId="0" applyFill="1" applyBorder="1" applyAlignment="1" applyProtection="1">
      <alignment/>
      <protection hidden="1"/>
    </xf>
    <xf numFmtId="0" fontId="2" fillId="0" borderId="0" xfId="60" applyFont="1" applyFill="1" applyBorder="1" applyProtection="1">
      <alignment/>
      <protection hidden="1"/>
    </xf>
    <xf numFmtId="165" fontId="2" fillId="0" borderId="0" xfId="60" applyNumberFormat="1" applyFont="1" applyFill="1" applyBorder="1" applyProtection="1">
      <alignment/>
      <protection hidden="1"/>
    </xf>
    <xf numFmtId="165" fontId="2" fillId="0" borderId="0" xfId="60" applyNumberFormat="1" applyFill="1" applyBorder="1" applyProtection="1">
      <alignment/>
      <protection hidden="1"/>
    </xf>
    <xf numFmtId="0" fontId="3" fillId="0" borderId="0" xfId="64" applyFont="1" applyAlignment="1" applyProtection="1">
      <alignment wrapText="1"/>
      <protection hidden="1"/>
    </xf>
    <xf numFmtId="0" fontId="2" fillId="0" borderId="12" xfId="60" applyBorder="1" applyAlignment="1" applyProtection="1">
      <alignment horizontal="center"/>
      <protection hidden="1"/>
    </xf>
    <xf numFmtId="0" fontId="2" fillId="0" borderId="13" xfId="60" applyBorder="1" applyAlignment="1" applyProtection="1">
      <alignment horizontal="center"/>
      <protection hidden="1"/>
    </xf>
    <xf numFmtId="0" fontId="3" fillId="0" borderId="0" xfId="60" applyFont="1" applyBorder="1" applyProtection="1">
      <alignment/>
      <protection hidden="1"/>
    </xf>
    <xf numFmtId="0" fontId="3" fillId="0" borderId="0" xfId="0" applyFont="1" applyAlignment="1" applyProtection="1">
      <alignment wrapText="1"/>
      <protection hidden="1"/>
    </xf>
    <xf numFmtId="0" fontId="8" fillId="20" borderId="10" xfId="33" applyNumberFormat="1" applyFont="1" applyBorder="1" applyAlignment="1" applyProtection="1">
      <alignment wrapText="1"/>
      <protection hidden="1"/>
    </xf>
    <xf numFmtId="0" fontId="3" fillId="0" borderId="0" xfId="0" applyFont="1" applyBorder="1" applyAlignment="1" applyProtection="1">
      <alignment wrapText="1"/>
      <protection hidden="1"/>
    </xf>
    <xf numFmtId="0" fontId="5" fillId="0" borderId="10" xfId="60" applyFont="1" applyBorder="1" applyProtection="1">
      <alignment/>
      <protection hidden="1"/>
    </xf>
    <xf numFmtId="165" fontId="2" fillId="33" borderId="10" xfId="60" applyNumberFormat="1" applyFont="1" applyFill="1" applyBorder="1" applyAlignment="1" applyProtection="1">
      <alignment wrapText="1"/>
      <protection hidden="1"/>
    </xf>
    <xf numFmtId="165" fontId="5" fillId="0" borderId="10" xfId="60" applyNumberFormat="1" applyFont="1" applyBorder="1" applyProtection="1">
      <alignment/>
      <protection hidden="1"/>
    </xf>
    <xf numFmtId="0" fontId="7" fillId="33" borderId="10" xfId="60" applyFont="1" applyFill="1" applyBorder="1" applyAlignment="1" applyProtection="1">
      <alignment wrapText="1"/>
      <protection hidden="1"/>
    </xf>
    <xf numFmtId="165" fontId="7" fillId="33" borderId="10" xfId="60" applyNumberFormat="1" applyFont="1" applyFill="1" applyBorder="1" applyProtection="1">
      <alignment/>
      <protection hidden="1"/>
    </xf>
    <xf numFmtId="0" fontId="3" fillId="0" borderId="14" xfId="60" applyFont="1" applyBorder="1" applyProtection="1">
      <alignment/>
      <protection hidden="1"/>
    </xf>
    <xf numFmtId="0" fontId="3" fillId="0" borderId="15" xfId="60" applyFont="1" applyBorder="1" applyProtection="1">
      <alignment/>
      <protection hidden="1"/>
    </xf>
    <xf numFmtId="0" fontId="13" fillId="0" borderId="15" xfId="60" applyFont="1" applyBorder="1" applyProtection="1">
      <alignment/>
      <protection hidden="1"/>
    </xf>
    <xf numFmtId="0" fontId="8" fillId="20" borderId="10" xfId="33" applyNumberFormat="1" applyFont="1" applyBorder="1" applyAlignment="1" applyProtection="1">
      <alignment vertical="center" wrapText="1"/>
      <protection hidden="1"/>
    </xf>
    <xf numFmtId="0" fontId="8" fillId="20" borderId="11" xfId="33" applyNumberFormat="1" applyFont="1" applyBorder="1" applyAlignment="1" applyProtection="1">
      <alignment horizontal="center" vertical="center" wrapText="1"/>
      <protection hidden="1"/>
    </xf>
    <xf numFmtId="0" fontId="5" fillId="33" borderId="16" xfId="60" applyFont="1" applyFill="1" applyBorder="1" applyAlignment="1" applyProtection="1">
      <alignment wrapText="1"/>
      <protection hidden="1"/>
    </xf>
    <xf numFmtId="165" fontId="2" fillId="33" borderId="17" xfId="60" applyNumberFormat="1" applyFont="1" applyFill="1" applyBorder="1" applyAlignment="1" applyProtection="1">
      <alignment wrapText="1"/>
      <protection hidden="1"/>
    </xf>
    <xf numFmtId="0" fontId="5" fillId="33" borderId="10" xfId="60" applyFont="1" applyFill="1" applyBorder="1" applyAlignment="1" applyProtection="1">
      <alignment wrapText="1"/>
      <protection hidden="1"/>
    </xf>
    <xf numFmtId="165" fontId="2" fillId="33" borderId="18" xfId="60" applyNumberFormat="1" applyFont="1" applyFill="1" applyBorder="1" applyAlignment="1" applyProtection="1">
      <alignment wrapText="1"/>
      <protection hidden="1"/>
    </xf>
    <xf numFmtId="0" fontId="5" fillId="0" borderId="19" xfId="60" applyFont="1" applyBorder="1" applyAlignment="1" applyProtection="1">
      <alignment wrapText="1"/>
      <protection hidden="1"/>
    </xf>
    <xf numFmtId="165" fontId="5" fillId="33" borderId="20" xfId="60" applyNumberFormat="1" applyFont="1" applyFill="1" applyBorder="1" applyAlignment="1" applyProtection="1">
      <alignment horizontal="right" vertical="top" wrapText="1"/>
      <protection hidden="1"/>
    </xf>
    <xf numFmtId="165" fontId="5" fillId="33" borderId="10" xfId="60" applyNumberFormat="1" applyFont="1" applyFill="1" applyBorder="1" applyAlignment="1" applyProtection="1">
      <alignment horizontal="right" vertical="top" wrapText="1"/>
      <protection hidden="1"/>
    </xf>
    <xf numFmtId="0" fontId="5" fillId="0" borderId="10" xfId="60" applyFont="1" applyBorder="1" applyAlignment="1" applyProtection="1">
      <alignment wrapText="1"/>
      <protection hidden="1"/>
    </xf>
    <xf numFmtId="0" fontId="6" fillId="33" borderId="21" xfId="60" applyFont="1" applyFill="1" applyBorder="1" applyAlignment="1" applyProtection="1">
      <alignment wrapText="1"/>
      <protection hidden="1"/>
    </xf>
    <xf numFmtId="165" fontId="6" fillId="33" borderId="10" xfId="60" applyNumberFormat="1" applyFont="1" applyFill="1" applyBorder="1" applyAlignment="1" applyProtection="1">
      <alignment wrapText="1"/>
      <protection hidden="1"/>
    </xf>
    <xf numFmtId="0" fontId="9" fillId="33" borderId="14" xfId="60" applyFont="1" applyFill="1" applyBorder="1" applyAlignment="1" applyProtection="1">
      <alignment wrapText="1"/>
      <protection hidden="1"/>
    </xf>
    <xf numFmtId="3" fontId="9" fillId="33" borderId="15" xfId="60" applyNumberFormat="1" applyFont="1" applyFill="1" applyBorder="1" applyAlignment="1" applyProtection="1">
      <alignment wrapText="1"/>
      <protection hidden="1"/>
    </xf>
    <xf numFmtId="3" fontId="14" fillId="33" borderId="15" xfId="60" applyNumberFormat="1" applyFont="1" applyFill="1" applyBorder="1" applyAlignment="1" applyProtection="1">
      <alignment wrapText="1"/>
      <protection hidden="1"/>
    </xf>
    <xf numFmtId="0" fontId="2" fillId="33" borderId="10" xfId="0" applyFont="1" applyFill="1" applyBorder="1" applyAlignment="1" applyProtection="1">
      <alignment wrapText="1"/>
      <protection hidden="1"/>
    </xf>
    <xf numFmtId="0" fontId="2" fillId="0" borderId="10" xfId="60" applyFont="1" applyBorder="1" applyAlignment="1" applyProtection="1">
      <alignment horizontal="right"/>
      <protection hidden="1"/>
    </xf>
    <xf numFmtId="3" fontId="2" fillId="33" borderId="10" xfId="60" applyNumberFormat="1" applyFont="1" applyFill="1" applyBorder="1" applyAlignment="1" applyProtection="1">
      <alignment wrapText="1"/>
      <protection hidden="1"/>
    </xf>
    <xf numFmtId="0" fontId="3" fillId="0" borderId="10" xfId="64" applyFont="1" applyBorder="1" applyAlignment="1" applyProtection="1">
      <alignment horizontal="right" wrapText="1"/>
      <protection hidden="1"/>
    </xf>
    <xf numFmtId="0" fontId="6" fillId="33" borderId="10" xfId="60" applyFont="1" applyFill="1" applyBorder="1" applyAlignment="1" applyProtection="1">
      <alignment wrapText="1"/>
      <protection hidden="1"/>
    </xf>
    <xf numFmtId="0" fontId="13" fillId="0" borderId="0" xfId="60" applyFont="1" applyProtection="1">
      <alignment/>
      <protection hidden="1"/>
    </xf>
    <xf numFmtId="0" fontId="3" fillId="33" borderId="0" xfId="60" applyFont="1" applyFill="1" applyProtection="1">
      <alignment/>
      <protection hidden="1"/>
    </xf>
    <xf numFmtId="0" fontId="13" fillId="0" borderId="14" xfId="60" applyFont="1" applyBorder="1" applyProtection="1">
      <alignment/>
      <protection hidden="1"/>
    </xf>
    <xf numFmtId="165" fontId="6" fillId="33" borderId="11" xfId="60" applyNumberFormat="1" applyFont="1" applyFill="1" applyBorder="1" applyAlignment="1" applyProtection="1">
      <alignment wrapText="1"/>
      <protection hidden="1"/>
    </xf>
    <xf numFmtId="0" fontId="5" fillId="35" borderId="22" xfId="60" applyFont="1" applyFill="1" applyBorder="1" applyAlignment="1" applyProtection="1">
      <alignment horizontal="left" wrapText="1"/>
      <protection hidden="1"/>
    </xf>
    <xf numFmtId="165" fontId="2" fillId="33" borderId="23" xfId="60" applyNumberFormat="1" applyFont="1" applyFill="1" applyBorder="1" applyAlignment="1" applyProtection="1">
      <alignment horizontal="right" wrapText="1"/>
      <protection hidden="1"/>
    </xf>
    <xf numFmtId="0" fontId="7" fillId="35" borderId="22" xfId="60" applyFont="1" applyFill="1" applyBorder="1" applyAlignment="1" applyProtection="1">
      <alignment horizontal="left" wrapText="1"/>
      <protection hidden="1"/>
    </xf>
    <xf numFmtId="165" fontId="6" fillId="33" borderId="23" xfId="60" applyNumberFormat="1" applyFont="1" applyFill="1" applyBorder="1" applyAlignment="1" applyProtection="1">
      <alignment horizontal="right" wrapText="1"/>
      <protection hidden="1"/>
    </xf>
    <xf numFmtId="0" fontId="8" fillId="20" borderId="10" xfId="33" applyFont="1" applyBorder="1" applyAlignment="1" applyProtection="1">
      <alignment wrapText="1"/>
      <protection hidden="1"/>
    </xf>
    <xf numFmtId="0" fontId="8" fillId="20" borderId="11" xfId="33" applyFont="1" applyBorder="1" applyAlignment="1" applyProtection="1">
      <alignment horizontal="center" wrapText="1"/>
      <protection hidden="1"/>
    </xf>
    <xf numFmtId="0" fontId="15" fillId="20" borderId="11" xfId="33" applyFont="1" applyBorder="1" applyAlignment="1" applyProtection="1">
      <alignment horizontal="center" wrapText="1"/>
      <protection hidden="1"/>
    </xf>
    <xf numFmtId="0" fontId="2" fillId="0" borderId="10" xfId="62" applyFont="1" applyBorder="1" applyProtection="1">
      <alignment/>
      <protection hidden="1"/>
    </xf>
    <xf numFmtId="0" fontId="3" fillId="0" borderId="24" xfId="60" applyFont="1" applyBorder="1" applyProtection="1">
      <alignment/>
      <protection hidden="1"/>
    </xf>
    <xf numFmtId="165" fontId="2" fillId="33" borderId="11" xfId="60" applyNumberFormat="1" applyFont="1" applyFill="1" applyBorder="1" applyProtection="1">
      <alignment/>
      <protection hidden="1"/>
    </xf>
    <xf numFmtId="0" fontId="6" fillId="33" borderId="10" xfId="60" applyFont="1" applyFill="1" applyBorder="1" applyProtection="1">
      <alignment/>
      <protection hidden="1"/>
    </xf>
    <xf numFmtId="165" fontId="6" fillId="33" borderId="24" xfId="60" applyNumberFormat="1" applyFont="1" applyFill="1" applyBorder="1" applyProtection="1">
      <alignment/>
      <protection hidden="1"/>
    </xf>
    <xf numFmtId="0" fontId="5" fillId="0" borderId="10" xfId="60" applyFont="1" applyFill="1" applyBorder="1" applyAlignment="1" applyProtection="1">
      <alignment wrapText="1"/>
      <protection hidden="1"/>
    </xf>
    <xf numFmtId="0" fontId="3" fillId="0" borderId="0" xfId="60" applyFont="1" applyAlignment="1" applyProtection="1">
      <alignment horizontal="center"/>
      <protection hidden="1"/>
    </xf>
    <xf numFmtId="0" fontId="3" fillId="0" borderId="13" xfId="60" applyFont="1" applyBorder="1" applyAlignment="1" applyProtection="1">
      <alignment horizontal="center"/>
      <protection hidden="1"/>
    </xf>
    <xf numFmtId="0" fontId="3" fillId="0" borderId="0" xfId="0" applyFont="1" applyAlignment="1" applyProtection="1">
      <alignment/>
      <protection hidden="1"/>
    </xf>
    <xf numFmtId="0" fontId="48" fillId="20" borderId="10" xfId="33" applyNumberFormat="1" applyBorder="1" applyAlignment="1" applyProtection="1">
      <alignment horizontal="left" wrapText="1"/>
      <protection hidden="1"/>
    </xf>
    <xf numFmtId="0" fontId="3" fillId="0" borderId="0" xfId="0" applyFont="1" applyBorder="1" applyAlignment="1" applyProtection="1">
      <alignment/>
      <protection hidden="1"/>
    </xf>
    <xf numFmtId="0" fontId="6" fillId="36" borderId="10" xfId="60" applyNumberFormat="1" applyFont="1" applyFill="1" applyBorder="1" applyAlignment="1" applyProtection="1">
      <alignment vertical="center" wrapText="1"/>
      <protection hidden="1"/>
    </xf>
    <xf numFmtId="0" fontId="13" fillId="0" borderId="0" xfId="60" applyFont="1" applyAlignment="1" applyProtection="1">
      <alignment wrapText="1"/>
      <protection hidden="1"/>
    </xf>
    <xf numFmtId="49" fontId="2" fillId="0" borderId="10" xfId="60" applyNumberFormat="1" applyFont="1" applyBorder="1" applyAlignment="1" applyProtection="1">
      <alignment wrapText="1"/>
      <protection hidden="1"/>
    </xf>
    <xf numFmtId="4" fontId="2" fillId="0" borderId="10" xfId="60" applyNumberFormat="1" applyFont="1" applyBorder="1" applyProtection="1">
      <alignment/>
      <protection hidden="1"/>
    </xf>
    <xf numFmtId="0" fontId="7" fillId="35" borderId="10" xfId="60" applyFont="1" applyFill="1" applyBorder="1" applyAlignment="1" applyProtection="1">
      <alignment/>
      <protection hidden="1"/>
    </xf>
    <xf numFmtId="0" fontId="2" fillId="0" borderId="15" xfId="60" applyBorder="1" applyProtection="1">
      <alignment/>
      <protection hidden="1"/>
    </xf>
    <xf numFmtId="0" fontId="12" fillId="0" borderId="15" xfId="60" applyFont="1" applyBorder="1" applyProtection="1">
      <alignment/>
      <protection hidden="1"/>
    </xf>
    <xf numFmtId="0" fontId="12" fillId="0" borderId="15" xfId="60" applyFont="1" applyBorder="1" applyAlignment="1" applyProtection="1">
      <alignment wrapText="1"/>
      <protection hidden="1"/>
    </xf>
    <xf numFmtId="0" fontId="7" fillId="35" borderId="0" xfId="60" applyFont="1" applyFill="1" applyBorder="1" applyAlignment="1" applyProtection="1">
      <alignment/>
      <protection hidden="1"/>
    </xf>
    <xf numFmtId="164" fontId="6" fillId="0" borderId="15" xfId="60" applyNumberFormat="1" applyFont="1" applyBorder="1" applyProtection="1">
      <alignment/>
      <protection hidden="1"/>
    </xf>
    <xf numFmtId="164" fontId="7" fillId="33" borderId="15" xfId="60" applyNumberFormat="1" applyFont="1" applyFill="1" applyBorder="1" applyAlignment="1" applyProtection="1">
      <alignment wrapText="1"/>
      <protection hidden="1"/>
    </xf>
    <xf numFmtId="164" fontId="7" fillId="33" borderId="15" xfId="60" applyNumberFormat="1" applyFont="1" applyFill="1" applyBorder="1" applyAlignment="1" applyProtection="1">
      <alignment/>
      <protection hidden="1"/>
    </xf>
    <xf numFmtId="164" fontId="7" fillId="33" borderId="0" xfId="60" applyNumberFormat="1" applyFont="1" applyFill="1" applyBorder="1" applyAlignment="1" applyProtection="1">
      <alignment/>
      <protection hidden="1"/>
    </xf>
    <xf numFmtId="0" fontId="3" fillId="0" borderId="10" xfId="60" applyFont="1" applyBorder="1" applyAlignment="1" applyProtection="1">
      <alignment horizontal="right"/>
      <protection hidden="1"/>
    </xf>
    <xf numFmtId="0" fontId="13" fillId="0" borderId="15" xfId="60" applyFont="1" applyBorder="1" applyAlignment="1" applyProtection="1">
      <alignment wrapText="1"/>
      <protection hidden="1"/>
    </xf>
    <xf numFmtId="0" fontId="3" fillId="0" borderId="10" xfId="60" applyFont="1" applyBorder="1" applyAlignment="1" applyProtection="1">
      <alignment wrapText="1"/>
      <protection hidden="1"/>
    </xf>
    <xf numFmtId="0" fontId="6" fillId="0" borderId="0" xfId="60" applyFont="1" applyProtection="1">
      <alignment/>
      <protection hidden="1"/>
    </xf>
    <xf numFmtId="0" fontId="16" fillId="0" borderId="0" xfId="60" applyFont="1" applyProtection="1">
      <alignment/>
      <protection hidden="1"/>
    </xf>
    <xf numFmtId="0" fontId="64" fillId="0" borderId="0" xfId="0" applyFont="1" applyAlignment="1" applyProtection="1">
      <alignment/>
      <protection hidden="1"/>
    </xf>
    <xf numFmtId="0" fontId="5" fillId="35" borderId="10" xfId="60" applyFont="1" applyFill="1" applyBorder="1" applyAlignment="1" applyProtection="1">
      <alignment wrapText="1"/>
      <protection hidden="1"/>
    </xf>
    <xf numFmtId="0" fontId="5" fillId="35" borderId="10" xfId="60" applyFont="1" applyFill="1" applyBorder="1" applyAlignment="1" applyProtection="1">
      <alignment horizontal="left"/>
      <protection hidden="1"/>
    </xf>
    <xf numFmtId="0" fontId="7" fillId="35" borderId="10" xfId="60" applyFont="1" applyFill="1" applyBorder="1" applyAlignment="1" applyProtection="1">
      <alignment horizontal="left"/>
      <protection hidden="1"/>
    </xf>
    <xf numFmtId="164" fontId="3" fillId="0" borderId="0" xfId="60" applyNumberFormat="1" applyFont="1" applyProtection="1">
      <alignment/>
      <protection hidden="1"/>
    </xf>
    <xf numFmtId="49" fontId="2" fillId="0" borderId="10" xfId="60" applyNumberFormat="1" applyFont="1" applyBorder="1" applyAlignment="1" applyProtection="1">
      <alignment wrapText="1"/>
      <protection hidden="1"/>
    </xf>
    <xf numFmtId="3" fontId="5" fillId="33" borderId="10" xfId="60" applyNumberFormat="1" applyFont="1" applyFill="1" applyBorder="1" applyProtection="1">
      <alignment/>
      <protection hidden="1"/>
    </xf>
    <xf numFmtId="164" fontId="5" fillId="33" borderId="10" xfId="68" applyNumberFormat="1" applyFont="1" applyFill="1" applyBorder="1" applyAlignment="1" applyProtection="1">
      <alignment/>
      <protection hidden="1"/>
    </xf>
    <xf numFmtId="49" fontId="6" fillId="0" borderId="10" xfId="60" applyNumberFormat="1" applyFont="1" applyBorder="1" applyAlignment="1" applyProtection="1">
      <alignment wrapText="1"/>
      <protection hidden="1"/>
    </xf>
    <xf numFmtId="3" fontId="5" fillId="33" borderId="10" xfId="47" applyNumberFormat="1" applyFont="1" applyFill="1" applyBorder="1" applyAlignment="1" applyProtection="1">
      <alignment/>
      <protection hidden="1"/>
    </xf>
    <xf numFmtId="0" fontId="5" fillId="0" borderId="0" xfId="60" applyFont="1" applyProtection="1">
      <alignment/>
      <protection hidden="1"/>
    </xf>
    <xf numFmtId="0" fontId="51" fillId="20" borderId="10" xfId="33" applyNumberFormat="1" applyFont="1" applyBorder="1" applyAlignment="1" applyProtection="1">
      <alignment vertical="center" wrapText="1"/>
      <protection hidden="1"/>
    </xf>
    <xf numFmtId="0" fontId="2" fillId="0" borderId="10" xfId="68" applyNumberFormat="1" applyFont="1" applyBorder="1" applyAlignment="1" applyProtection="1">
      <alignment wrapText="1"/>
      <protection hidden="1"/>
    </xf>
    <xf numFmtId="0" fontId="48" fillId="20" borderId="10" xfId="33" applyBorder="1" applyAlignment="1" applyProtection="1">
      <alignment/>
      <protection hidden="1"/>
    </xf>
    <xf numFmtId="0" fontId="11" fillId="0" borderId="0" xfId="60" applyFont="1" applyProtection="1">
      <alignment/>
      <protection hidden="1"/>
    </xf>
    <xf numFmtId="0" fontId="13" fillId="0" borderId="0" xfId="60" applyFont="1" applyBorder="1" applyProtection="1">
      <alignment/>
      <protection hidden="1"/>
    </xf>
    <xf numFmtId="0" fontId="8" fillId="20" borderId="10" xfId="33" applyFont="1" applyBorder="1" applyAlignment="1" applyProtection="1">
      <alignment/>
      <protection hidden="1"/>
    </xf>
    <xf numFmtId="0" fontId="8" fillId="20" borderId="10" xfId="33" applyFont="1" applyBorder="1" applyAlignment="1" applyProtection="1">
      <alignment horizontal="center"/>
      <protection hidden="1"/>
    </xf>
    <xf numFmtId="0" fontId="48" fillId="20" borderId="10" xfId="33" applyBorder="1" applyAlignment="1" applyProtection="1">
      <alignment horizontal="center"/>
      <protection hidden="1"/>
    </xf>
    <xf numFmtId="2" fontId="5" fillId="33" borderId="10" xfId="68" applyNumberFormat="1" applyFont="1" applyFill="1" applyBorder="1" applyAlignment="1" applyProtection="1">
      <alignment/>
      <protection hidden="1"/>
    </xf>
    <xf numFmtId="49" fontId="2" fillId="0" borderId="10" xfId="60" applyNumberFormat="1" applyFont="1" applyBorder="1" applyAlignment="1" applyProtection="1">
      <alignment horizontal="left" wrapText="1"/>
      <protection hidden="1"/>
    </xf>
    <xf numFmtId="0" fontId="7" fillId="0" borderId="10" xfId="60" applyFont="1" applyBorder="1" applyProtection="1">
      <alignment/>
      <protection hidden="1"/>
    </xf>
    <xf numFmtId="2" fontId="7" fillId="33" borderId="10" xfId="68" applyNumberFormat="1" applyFont="1" applyFill="1" applyBorder="1" applyAlignment="1" applyProtection="1">
      <alignment/>
      <protection hidden="1"/>
    </xf>
    <xf numFmtId="10" fontId="5" fillId="33" borderId="10" xfId="68" applyNumberFormat="1" applyFont="1" applyFill="1" applyBorder="1" applyAlignment="1" applyProtection="1">
      <alignment/>
      <protection hidden="1"/>
    </xf>
    <xf numFmtId="7" fontId="5" fillId="33" borderId="10" xfId="47" applyNumberFormat="1" applyFont="1" applyFill="1" applyBorder="1" applyAlignment="1" applyProtection="1">
      <alignment/>
      <protection hidden="1"/>
    </xf>
    <xf numFmtId="0" fontId="2" fillId="0" borderId="0" xfId="60" applyFont="1" applyFill="1" applyProtection="1">
      <alignment/>
      <protection hidden="1"/>
    </xf>
    <xf numFmtId="0" fontId="67" fillId="0" borderId="0" xfId="60" applyFont="1" applyFill="1" applyProtection="1">
      <alignment/>
      <protection hidden="1"/>
    </xf>
    <xf numFmtId="0" fontId="2" fillId="0" borderId="0" xfId="60" applyFill="1" applyProtection="1">
      <alignment/>
      <protection hidden="1"/>
    </xf>
    <xf numFmtId="0" fontId="10" fillId="20" borderId="10" xfId="33" applyNumberFormat="1" applyFont="1" applyBorder="1" applyAlignment="1" applyProtection="1">
      <alignment horizontal="right" vertical="center" wrapText="1"/>
      <protection hidden="1"/>
    </xf>
    <xf numFmtId="0" fontId="5" fillId="35" borderId="10" xfId="60" applyFont="1" applyFill="1" applyBorder="1" applyAlignment="1" applyProtection="1">
      <alignment horizontal="left" wrapText="1"/>
      <protection hidden="1"/>
    </xf>
    <xf numFmtId="0" fontId="5" fillId="37" borderId="10" xfId="60" applyFont="1" applyFill="1" applyBorder="1" applyAlignment="1" applyProtection="1">
      <alignment horizontal="left" wrapText="1"/>
      <protection hidden="1"/>
    </xf>
    <xf numFmtId="0" fontId="5" fillId="35" borderId="10" xfId="60" applyFont="1" applyFill="1" applyBorder="1" applyAlignment="1" applyProtection="1">
      <alignment horizontal="left" vertical="center" wrapText="1"/>
      <protection hidden="1"/>
    </xf>
    <xf numFmtId="0" fontId="48" fillId="20" borderId="10" xfId="33" applyBorder="1" applyAlignment="1" applyProtection="1">
      <alignment wrapText="1"/>
      <protection hidden="1"/>
    </xf>
    <xf numFmtId="0" fontId="2" fillId="0" borderId="10" xfId="60" applyFont="1" applyBorder="1" applyAlignment="1" applyProtection="1">
      <alignment wrapText="1"/>
      <protection hidden="1"/>
    </xf>
    <xf numFmtId="0" fontId="2" fillId="33" borderId="10" xfId="60" applyFont="1" applyFill="1" applyBorder="1" applyAlignment="1" applyProtection="1">
      <alignment wrapText="1"/>
      <protection hidden="1"/>
    </xf>
    <xf numFmtId="0" fontId="2" fillId="35" borderId="10" xfId="60" applyFont="1" applyFill="1" applyBorder="1" applyAlignment="1" applyProtection="1">
      <alignment horizontal="left" wrapText="1"/>
      <protection hidden="1"/>
    </xf>
    <xf numFmtId="0" fontId="5" fillId="0" borderId="0" xfId="60" applyFont="1" applyFill="1" applyBorder="1" applyProtection="1">
      <alignment/>
      <protection hidden="1"/>
    </xf>
    <xf numFmtId="0" fontId="2" fillId="0" borderId="10" xfId="60" applyFont="1" applyFill="1" applyBorder="1" applyAlignment="1" applyProtection="1">
      <alignment wrapText="1"/>
      <protection hidden="1"/>
    </xf>
    <xf numFmtId="49" fontId="2" fillId="0" borderId="10" xfId="60" applyNumberFormat="1" applyFont="1" applyFill="1" applyBorder="1" applyAlignment="1" applyProtection="1">
      <alignment wrapText="1"/>
      <protection hidden="1"/>
    </xf>
    <xf numFmtId="0" fontId="67" fillId="0" borderId="0" xfId="60" applyFont="1" applyFill="1" applyBorder="1" applyProtection="1">
      <alignment/>
      <protection hidden="1"/>
    </xf>
    <xf numFmtId="0" fontId="2" fillId="0" borderId="0" xfId="60" applyFont="1" applyBorder="1" applyAlignment="1" applyProtection="1">
      <alignment wrapText="1"/>
      <protection hidden="1"/>
    </xf>
    <xf numFmtId="0" fontId="5" fillId="35" borderId="0" xfId="60" applyFont="1" applyFill="1" applyBorder="1" applyAlignment="1" applyProtection="1">
      <alignment horizontal="left" vertical="center" wrapText="1"/>
      <protection hidden="1"/>
    </xf>
    <xf numFmtId="49" fontId="2" fillId="33" borderId="10" xfId="60" applyNumberFormat="1" applyFont="1" applyFill="1" applyBorder="1" applyAlignment="1" applyProtection="1">
      <alignment wrapText="1"/>
      <protection hidden="1"/>
    </xf>
    <xf numFmtId="9" fontId="2" fillId="0" borderId="10" xfId="68" applyFont="1" applyBorder="1" applyAlignment="1" applyProtection="1">
      <alignment wrapText="1"/>
      <protection hidden="1"/>
    </xf>
    <xf numFmtId="49" fontId="2" fillId="0" borderId="10" xfId="0" applyNumberFormat="1" applyFont="1" applyBorder="1" applyAlignment="1" applyProtection="1">
      <alignment wrapText="1"/>
      <protection hidden="1"/>
    </xf>
    <xf numFmtId="9" fontId="4" fillId="28" borderId="10" xfId="41" applyNumberFormat="1" applyFont="1" applyBorder="1" applyAlignment="1" applyProtection="1">
      <alignment/>
      <protection hidden="1" locked="0"/>
    </xf>
    <xf numFmtId="2" fontId="4" fillId="28" borderId="10" xfId="41" applyNumberFormat="1" applyFont="1" applyBorder="1" applyAlignment="1" applyProtection="1">
      <alignment/>
      <protection hidden="1" locked="0"/>
    </xf>
    <xf numFmtId="1" fontId="4" fillId="28" borderId="10" xfId="41" applyNumberFormat="1" applyFont="1" applyBorder="1" applyAlignment="1" applyProtection="1">
      <alignment/>
      <protection hidden="1" locked="0"/>
    </xf>
    <xf numFmtId="164" fontId="4" fillId="28" borderId="10" xfId="41" applyNumberFormat="1" applyFont="1" applyBorder="1" applyAlignment="1" applyProtection="1">
      <alignment/>
      <protection hidden="1" locked="0"/>
    </xf>
    <xf numFmtId="1" fontId="5" fillId="33" borderId="10" xfId="41" applyNumberFormat="1" applyFont="1" applyFill="1" applyBorder="1" applyAlignment="1" applyProtection="1">
      <alignment/>
      <protection hidden="1"/>
    </xf>
    <xf numFmtId="164" fontId="4" fillId="28" borderId="10" xfId="41" applyNumberFormat="1" applyFont="1" applyBorder="1" applyAlignment="1" applyProtection="1">
      <alignment horizontal="right"/>
      <protection hidden="1" locked="0"/>
    </xf>
    <xf numFmtId="3" fontId="4" fillId="28" borderId="10" xfId="41" applyNumberFormat="1" applyFont="1" applyBorder="1" applyAlignment="1" applyProtection="1">
      <alignment horizontal="right"/>
      <protection hidden="1" locked="0"/>
    </xf>
    <xf numFmtId="2" fontId="4" fillId="38" borderId="10" xfId="41" applyNumberFormat="1" applyFont="1" applyFill="1" applyBorder="1" applyAlignment="1" applyProtection="1">
      <alignment/>
      <protection hidden="1" locked="0"/>
    </xf>
    <xf numFmtId="4" fontId="4" fillId="28" borderId="10" xfId="41" applyNumberFormat="1" applyFont="1" applyBorder="1" applyAlignment="1" applyProtection="1">
      <alignment horizontal="right" vertical="center"/>
      <protection hidden="1" locked="0"/>
    </xf>
    <xf numFmtId="164" fontId="4" fillId="28" borderId="10" xfId="41" applyNumberFormat="1" applyFont="1" applyBorder="1" applyAlignment="1" applyProtection="1">
      <alignment horizontal="right" vertical="center"/>
      <protection hidden="1" locked="0"/>
    </xf>
    <xf numFmtId="1" fontId="4" fillId="39" borderId="10" xfId="60" applyNumberFormat="1" applyFont="1" applyFill="1" applyBorder="1" applyProtection="1">
      <alignment/>
      <protection hidden="1" locked="0"/>
    </xf>
    <xf numFmtId="9" fontId="4" fillId="39" borderId="10" xfId="68" applyFont="1" applyFill="1" applyBorder="1" applyAlignment="1" applyProtection="1">
      <alignment/>
      <protection hidden="1" locked="0"/>
    </xf>
    <xf numFmtId="4" fontId="4" fillId="39" borderId="10" xfId="68" applyNumberFormat="1" applyFont="1" applyFill="1" applyBorder="1" applyAlignment="1" applyProtection="1">
      <alignment/>
      <protection hidden="1" locked="0"/>
    </xf>
    <xf numFmtId="4" fontId="4" fillId="39" borderId="10" xfId="47" applyNumberFormat="1" applyFont="1" applyFill="1" applyBorder="1" applyAlignment="1" applyProtection="1">
      <alignment/>
      <protection hidden="1" locked="0"/>
    </xf>
    <xf numFmtId="1" fontId="4" fillId="39" borderId="10" xfId="68" applyNumberFormat="1" applyFont="1" applyFill="1" applyBorder="1" applyAlignment="1" applyProtection="1">
      <alignment/>
      <protection hidden="1" locked="0"/>
    </xf>
    <xf numFmtId="2" fontId="4" fillId="39" borderId="10" xfId="68" applyNumberFormat="1" applyFont="1" applyFill="1" applyBorder="1" applyAlignment="1" applyProtection="1">
      <alignment/>
      <protection hidden="1" locked="0"/>
    </xf>
    <xf numFmtId="10" fontId="4" fillId="39" borderId="10" xfId="68" applyNumberFormat="1" applyFont="1" applyFill="1" applyBorder="1" applyAlignment="1" applyProtection="1">
      <alignment/>
      <protection hidden="1" locked="0"/>
    </xf>
    <xf numFmtId="9" fontId="4" fillId="39" borderId="10" xfId="60" applyNumberFormat="1" applyFont="1" applyFill="1" applyBorder="1" applyProtection="1">
      <alignment/>
      <protection hidden="1" locked="0"/>
    </xf>
    <xf numFmtId="9" fontId="5" fillId="33" borderId="10" xfId="68" applyFont="1" applyFill="1" applyBorder="1" applyAlignment="1" applyProtection="1">
      <alignment/>
      <protection hidden="1"/>
    </xf>
    <xf numFmtId="0" fontId="2" fillId="0" borderId="10" xfId="60" applyFont="1" applyFill="1" applyBorder="1" applyProtection="1">
      <alignment/>
      <protection hidden="1"/>
    </xf>
    <xf numFmtId="9" fontId="66" fillId="34" borderId="10" xfId="60" applyNumberFormat="1" applyFont="1" applyFill="1" applyBorder="1" applyProtection="1">
      <alignment/>
      <protection hidden="1"/>
    </xf>
    <xf numFmtId="0" fontId="68" fillId="20" borderId="10" xfId="33" applyFont="1" applyBorder="1" applyAlignment="1" applyProtection="1">
      <alignment/>
      <protection hidden="1"/>
    </xf>
    <xf numFmtId="0" fontId="4" fillId="20" borderId="10" xfId="33" applyFont="1" applyBorder="1" applyAlignment="1" applyProtection="1">
      <alignment horizontal="center"/>
      <protection hidden="1"/>
    </xf>
    <xf numFmtId="0" fontId="68" fillId="20" borderId="10" xfId="33" applyFont="1" applyBorder="1" applyAlignment="1" applyProtection="1">
      <alignment horizontal="center"/>
      <protection hidden="1"/>
    </xf>
    <xf numFmtId="2" fontId="66" fillId="34" borderId="10" xfId="41" applyNumberFormat="1" applyFont="1" applyFill="1" applyBorder="1" applyAlignment="1" applyProtection="1">
      <alignment horizontal="right"/>
      <protection hidden="1"/>
    </xf>
    <xf numFmtId="0" fontId="2" fillId="0" borderId="0" xfId="60" applyFont="1" applyFill="1" applyBorder="1" applyProtection="1">
      <alignment/>
      <protection hidden="1"/>
    </xf>
    <xf numFmtId="2" fontId="3" fillId="0" borderId="0" xfId="60" applyNumberFormat="1" applyFont="1" applyProtection="1">
      <alignment/>
      <protection hidden="1"/>
    </xf>
    <xf numFmtId="10" fontId="3" fillId="0" borderId="0" xfId="60" applyNumberFormat="1" applyFont="1" applyProtection="1">
      <alignment/>
      <protection hidden="1"/>
    </xf>
    <xf numFmtId="7" fontId="3" fillId="0" borderId="0" xfId="60" applyNumberFormat="1" applyFont="1" applyProtection="1">
      <alignment/>
      <protection hidden="1"/>
    </xf>
    <xf numFmtId="2" fontId="5" fillId="33" borderId="10" xfId="68" applyNumberFormat="1" applyFont="1" applyFill="1" applyBorder="1" applyAlignment="1" applyProtection="1">
      <alignment horizontal="right"/>
      <protection hidden="1"/>
    </xf>
    <xf numFmtId="2" fontId="2" fillId="34" borderId="10" xfId="68" applyNumberFormat="1" applyFont="1" applyFill="1" applyBorder="1" applyAlignment="1" applyProtection="1">
      <alignment/>
      <protection hidden="1"/>
    </xf>
    <xf numFmtId="1" fontId="66" fillId="34" borderId="10" xfId="41" applyNumberFormat="1" applyFont="1" applyFill="1" applyBorder="1" applyAlignment="1" applyProtection="1">
      <alignment horizontal="right"/>
      <protection hidden="1"/>
    </xf>
    <xf numFmtId="3" fontId="7" fillId="33" borderId="10" xfId="60" applyNumberFormat="1" applyFont="1" applyFill="1" applyBorder="1" applyAlignment="1" applyProtection="1">
      <alignment horizontal="right"/>
      <protection hidden="1"/>
    </xf>
    <xf numFmtId="3" fontId="7" fillId="33" borderId="10" xfId="60" applyNumberFormat="1" applyFont="1" applyFill="1" applyBorder="1" applyAlignment="1" applyProtection="1">
      <alignment horizontal="right" wrapText="1"/>
      <protection hidden="1"/>
    </xf>
    <xf numFmtId="165" fontId="7" fillId="33" borderId="10" xfId="60" applyNumberFormat="1" applyFont="1" applyFill="1" applyBorder="1" applyAlignment="1" applyProtection="1">
      <alignment horizontal="right"/>
      <protection hidden="1"/>
    </xf>
    <xf numFmtId="165" fontId="7" fillId="33" borderId="10" xfId="60" applyNumberFormat="1" applyFont="1" applyFill="1" applyBorder="1" applyAlignment="1" applyProtection="1">
      <alignment horizontal="right" wrapText="1"/>
      <protection hidden="1"/>
    </xf>
    <xf numFmtId="165" fontId="5" fillId="33" borderId="10" xfId="47" applyNumberFormat="1" applyFont="1" applyFill="1" applyBorder="1" applyAlignment="1" applyProtection="1">
      <alignment horizontal="right"/>
      <protection hidden="1"/>
    </xf>
    <xf numFmtId="165" fontId="5" fillId="0" borderId="10" xfId="60" applyNumberFormat="1" applyFont="1" applyBorder="1" applyAlignment="1" applyProtection="1">
      <alignment horizontal="right"/>
      <protection hidden="1"/>
    </xf>
    <xf numFmtId="165" fontId="7" fillId="0" borderId="10" xfId="60" applyNumberFormat="1" applyFont="1" applyBorder="1" applyAlignment="1" applyProtection="1">
      <alignment horizontal="right"/>
      <protection hidden="1"/>
    </xf>
    <xf numFmtId="1" fontId="2" fillId="0" borderId="10" xfId="60" applyNumberFormat="1" applyFont="1" applyBorder="1" applyProtection="1">
      <alignment/>
      <protection hidden="1"/>
    </xf>
    <xf numFmtId="165" fontId="5" fillId="33" borderId="10" xfId="60" applyNumberFormat="1" applyFont="1" applyFill="1" applyBorder="1" applyProtection="1">
      <alignment/>
      <protection hidden="1"/>
    </xf>
    <xf numFmtId="165" fontId="5" fillId="33" borderId="10" xfId="68" applyNumberFormat="1" applyFont="1" applyFill="1" applyBorder="1" applyAlignment="1" applyProtection="1">
      <alignment/>
      <protection hidden="1"/>
    </xf>
    <xf numFmtId="165" fontId="7" fillId="33" borderId="10" xfId="47" applyNumberFormat="1" applyFont="1" applyFill="1" applyBorder="1" applyAlignment="1" applyProtection="1">
      <alignment/>
      <protection hidden="1"/>
    </xf>
    <xf numFmtId="165" fontId="5" fillId="33" borderId="10" xfId="47" applyNumberFormat="1" applyFont="1" applyFill="1" applyBorder="1" applyAlignment="1" applyProtection="1">
      <alignment/>
      <protection hidden="1"/>
    </xf>
    <xf numFmtId="1" fontId="2" fillId="0" borderId="10" xfId="60" applyNumberFormat="1" applyFont="1" applyBorder="1" applyAlignment="1" applyProtection="1">
      <alignment wrapText="1"/>
      <protection hidden="1"/>
    </xf>
    <xf numFmtId="3" fontId="6" fillId="0" borderId="10" xfId="60" applyNumberFormat="1" applyFont="1" applyBorder="1" applyProtection="1">
      <alignment/>
      <protection hidden="1"/>
    </xf>
    <xf numFmtId="165" fontId="7" fillId="33" borderId="10" xfId="60" applyNumberFormat="1" applyFont="1" applyFill="1" applyBorder="1" applyAlignment="1" applyProtection="1">
      <alignment/>
      <protection hidden="1"/>
    </xf>
    <xf numFmtId="165" fontId="7" fillId="33" borderId="10" xfId="60" applyNumberFormat="1" applyFont="1" applyFill="1" applyBorder="1" applyAlignment="1" applyProtection="1">
      <alignment wrapText="1"/>
      <protection hidden="1"/>
    </xf>
    <xf numFmtId="165" fontId="3" fillId="0" borderId="15" xfId="60" applyNumberFormat="1" applyFont="1" applyBorder="1" applyProtection="1">
      <alignment/>
      <protection hidden="1"/>
    </xf>
    <xf numFmtId="165" fontId="13" fillId="0" borderId="15" xfId="60" applyNumberFormat="1" applyFont="1" applyBorder="1" applyProtection="1">
      <alignment/>
      <protection hidden="1"/>
    </xf>
    <xf numFmtId="165" fontId="13" fillId="0" borderId="15" xfId="60" applyNumberFormat="1" applyFont="1" applyBorder="1" applyAlignment="1" applyProtection="1">
      <alignment wrapText="1"/>
      <protection hidden="1"/>
    </xf>
    <xf numFmtId="3" fontId="2" fillId="0" borderId="10" xfId="60" applyNumberFormat="1" applyFont="1" applyBorder="1" applyProtection="1">
      <alignment/>
      <protection hidden="1"/>
    </xf>
    <xf numFmtId="3" fontId="2" fillId="0" borderId="10" xfId="60" applyNumberFormat="1" applyFont="1" applyBorder="1" applyAlignment="1" applyProtection="1">
      <alignment wrapText="1"/>
      <protection hidden="1"/>
    </xf>
    <xf numFmtId="3" fontId="6" fillId="0" borderId="10" xfId="60" applyNumberFormat="1" applyFont="1" applyBorder="1" applyAlignment="1" applyProtection="1">
      <alignment wrapText="1"/>
      <protection hidden="1"/>
    </xf>
    <xf numFmtId="0" fontId="6" fillId="0" borderId="0" xfId="60" applyFont="1" applyAlignment="1" applyProtection="1">
      <alignment wrapText="1"/>
      <protection hidden="1"/>
    </xf>
    <xf numFmtId="1" fontId="68" fillId="38" borderId="10" xfId="60" applyNumberFormat="1" applyFont="1" applyFill="1" applyBorder="1" applyProtection="1">
      <alignment/>
      <protection hidden="1" locked="0"/>
    </xf>
    <xf numFmtId="3" fontId="68" fillId="38" borderId="10" xfId="68" applyNumberFormat="1" applyFont="1" applyFill="1" applyBorder="1" applyAlignment="1" applyProtection="1">
      <alignment/>
      <protection hidden="1" locked="0"/>
    </xf>
    <xf numFmtId="2" fontId="68" fillId="38" borderId="10" xfId="68" applyNumberFormat="1" applyFont="1" applyFill="1" applyBorder="1" applyAlignment="1" applyProtection="1">
      <alignment/>
      <protection hidden="1" locked="0"/>
    </xf>
    <xf numFmtId="49" fontId="2" fillId="34" borderId="10" xfId="60" applyNumberFormat="1" applyFont="1" applyFill="1" applyBorder="1" applyAlignment="1" applyProtection="1">
      <alignment wrapText="1"/>
      <protection hidden="1"/>
    </xf>
    <xf numFmtId="0" fontId="2" fillId="34" borderId="10" xfId="60" applyFont="1" applyFill="1" applyBorder="1" applyAlignment="1" applyProtection="1">
      <alignment wrapText="1"/>
      <protection hidden="1"/>
    </xf>
    <xf numFmtId="9" fontId="2" fillId="34" borderId="10" xfId="68" applyFont="1" applyFill="1" applyBorder="1" applyAlignment="1" applyProtection="1">
      <alignment wrapText="1"/>
      <protection hidden="1"/>
    </xf>
    <xf numFmtId="164" fontId="68" fillId="38" borderId="10" xfId="41" applyNumberFormat="1" applyFont="1" applyFill="1" applyBorder="1" applyAlignment="1" applyProtection="1">
      <alignment/>
      <protection hidden="1" locked="0"/>
    </xf>
    <xf numFmtId="0" fontId="4" fillId="38" borderId="10" xfId="41" applyFont="1" applyFill="1" applyBorder="1" applyAlignment="1" applyProtection="1">
      <alignment/>
      <protection hidden="1" locked="0"/>
    </xf>
    <xf numFmtId="164" fontId="4" fillId="38" borderId="10" xfId="41" applyNumberFormat="1" applyFont="1" applyFill="1" applyBorder="1" applyAlignment="1" applyProtection="1">
      <alignment/>
      <protection hidden="1" locked="0"/>
    </xf>
    <xf numFmtId="9" fontId="4" fillId="38" borderId="10" xfId="41" applyNumberFormat="1" applyFont="1" applyFill="1" applyBorder="1" applyAlignment="1" applyProtection="1">
      <alignment/>
      <protection hidden="1" locked="0"/>
    </xf>
    <xf numFmtId="9" fontId="4" fillId="38" borderId="10" xfId="68" applyFont="1" applyFill="1" applyBorder="1" applyAlignment="1" applyProtection="1">
      <alignment/>
      <protection hidden="1" locked="0"/>
    </xf>
    <xf numFmtId="43" fontId="5" fillId="33" borderId="10" xfId="42" applyFont="1" applyFill="1" applyBorder="1" applyAlignment="1" applyProtection="1">
      <alignment/>
      <protection hidden="1"/>
    </xf>
    <xf numFmtId="0" fontId="48" fillId="20" borderId="25" xfId="33" applyBorder="1" applyAlignment="1" applyProtection="1">
      <alignment wrapText="1"/>
      <protection hidden="1"/>
    </xf>
    <xf numFmtId="0" fontId="68" fillId="20" borderId="25" xfId="33" applyFont="1" applyBorder="1" applyAlignment="1" applyProtection="1">
      <alignment/>
      <protection hidden="1"/>
    </xf>
    <xf numFmtId="0" fontId="4" fillId="20" borderId="25" xfId="33" applyFont="1" applyBorder="1" applyAlignment="1" applyProtection="1">
      <alignment horizontal="center"/>
      <protection hidden="1"/>
    </xf>
    <xf numFmtId="0" fontId="68" fillId="20" borderId="25" xfId="33" applyFont="1" applyBorder="1" applyAlignment="1" applyProtection="1">
      <alignment horizontal="center"/>
      <protection hidden="1"/>
    </xf>
    <xf numFmtId="0" fontId="3" fillId="0" borderId="10" xfId="0" applyFont="1" applyBorder="1" applyAlignment="1" applyProtection="1">
      <alignment/>
      <protection hidden="1"/>
    </xf>
    <xf numFmtId="0" fontId="2" fillId="0" borderId="10" xfId="60" applyBorder="1" applyAlignment="1" applyProtection="1">
      <alignment wrapText="1"/>
      <protection hidden="1"/>
    </xf>
    <xf numFmtId="0" fontId="3" fillId="34" borderId="0" xfId="60" applyFont="1" applyFill="1" applyProtection="1">
      <alignment/>
      <protection hidden="1"/>
    </xf>
    <xf numFmtId="0" fontId="5" fillId="34" borderId="10" xfId="60" applyFont="1" applyFill="1" applyBorder="1" applyAlignment="1" applyProtection="1">
      <alignment wrapText="1"/>
      <protection hidden="1"/>
    </xf>
    <xf numFmtId="165" fontId="2" fillId="34" borderId="10" xfId="60" applyNumberFormat="1" applyFont="1" applyFill="1" applyBorder="1" applyAlignment="1" applyProtection="1">
      <alignment wrapText="1"/>
      <protection hidden="1"/>
    </xf>
    <xf numFmtId="0" fontId="3" fillId="34" borderId="0" xfId="60" applyFont="1" applyFill="1" applyBorder="1" applyProtection="1">
      <alignment/>
      <protection hidden="1"/>
    </xf>
    <xf numFmtId="0" fontId="0" fillId="34" borderId="0" xfId="0" applyFill="1" applyAlignment="1" applyProtection="1">
      <alignment/>
      <protection hidden="1"/>
    </xf>
    <xf numFmtId="0" fontId="2" fillId="0" borderId="0" xfId="60" applyFont="1" applyAlignment="1" applyProtection="1">
      <alignment wrapText="1"/>
      <protection hidden="1"/>
    </xf>
    <xf numFmtId="0" fontId="2" fillId="0" borderId="0" xfId="60" applyFont="1" applyProtection="1">
      <alignment/>
      <protection hidden="1"/>
    </xf>
    <xf numFmtId="0" fontId="69" fillId="20" borderId="10" xfId="33" applyNumberFormat="1" applyFont="1" applyBorder="1" applyAlignment="1" applyProtection="1">
      <alignment vertical="center" wrapText="1"/>
      <protection hidden="1"/>
    </xf>
    <xf numFmtId="0" fontId="17" fillId="20" borderId="10" xfId="33" applyNumberFormat="1" applyFont="1" applyBorder="1" applyAlignment="1" applyProtection="1">
      <alignment horizontal="center" vertical="center" wrapText="1"/>
      <protection hidden="1"/>
    </xf>
    <xf numFmtId="0" fontId="69" fillId="20" borderId="10" xfId="33" applyNumberFormat="1" applyFont="1" applyBorder="1" applyAlignment="1" applyProtection="1">
      <alignment horizontal="center" vertical="center" wrapText="1"/>
      <protection hidden="1"/>
    </xf>
    <xf numFmtId="3" fontId="68" fillId="38" borderId="10" xfId="33" applyNumberFormat="1" applyFont="1" applyFill="1" applyBorder="1" applyAlignment="1" applyProtection="1">
      <alignment/>
      <protection hidden="1" locked="0"/>
    </xf>
    <xf numFmtId="0" fontId="68" fillId="38" borderId="10" xfId="33" applyFont="1" applyFill="1" applyBorder="1" applyAlignment="1" applyProtection="1">
      <alignment/>
      <protection hidden="1" locked="0"/>
    </xf>
    <xf numFmtId="1" fontId="68" fillId="38" borderId="10" xfId="41" applyNumberFormat="1" applyFont="1" applyFill="1" applyBorder="1" applyAlignment="1" applyProtection="1">
      <alignment/>
      <protection hidden="1" locked="0"/>
    </xf>
    <xf numFmtId="0" fontId="68" fillId="38" borderId="10" xfId="41" applyFont="1" applyFill="1" applyBorder="1" applyAlignment="1" applyProtection="1">
      <alignment horizontal="right"/>
      <protection hidden="1" locked="0"/>
    </xf>
    <xf numFmtId="3" fontId="68" fillId="38" borderId="10" xfId="41" applyNumberFormat="1" applyFont="1" applyFill="1" applyBorder="1" applyAlignment="1" applyProtection="1">
      <alignment horizontal="right"/>
      <protection hidden="1" locked="0"/>
    </xf>
    <xf numFmtId="164" fontId="68" fillId="38" borderId="10" xfId="41" applyNumberFormat="1" applyFont="1" applyFill="1" applyBorder="1" applyAlignment="1" applyProtection="1">
      <alignment horizontal="right"/>
      <protection hidden="1" locked="0"/>
    </xf>
    <xf numFmtId="0" fontId="48" fillId="20" borderId="26" xfId="33" applyNumberFormat="1" applyBorder="1" applyAlignment="1" applyProtection="1">
      <alignment wrapText="1"/>
      <protection hidden="1"/>
    </xf>
    <xf numFmtId="0" fontId="48" fillId="20" borderId="25" xfId="33" applyNumberFormat="1" applyBorder="1" applyAlignment="1" applyProtection="1">
      <alignment wrapText="1"/>
      <protection hidden="1"/>
    </xf>
    <xf numFmtId="0" fontId="66" fillId="0" borderId="0" xfId="60" applyFont="1" applyFill="1" applyBorder="1" applyProtection="1">
      <alignment/>
      <protection hidden="1"/>
    </xf>
    <xf numFmtId="0" fontId="66" fillId="0" borderId="0" xfId="0" applyFont="1" applyAlignment="1" applyProtection="1">
      <alignment/>
      <protection hidden="1"/>
    </xf>
    <xf numFmtId="0" fontId="5" fillId="0" borderId="0" xfId="0" applyFont="1" applyAlignment="1" applyProtection="1">
      <alignment/>
      <protection hidden="1"/>
    </xf>
    <xf numFmtId="0" fontId="66" fillId="0" borderId="0" xfId="0" applyFont="1" applyBorder="1" applyAlignment="1" applyProtection="1">
      <alignment/>
      <protection hidden="1"/>
    </xf>
    <xf numFmtId="0" fontId="51" fillId="20" borderId="10" xfId="33" applyFont="1" applyBorder="1" applyAlignment="1" applyProtection="1">
      <alignment horizontal="right" vertical="center" wrapText="1"/>
      <protection hidden="1"/>
    </xf>
    <xf numFmtId="0" fontId="10" fillId="20" borderId="10" xfId="33" applyFont="1" applyBorder="1" applyAlignment="1" applyProtection="1">
      <alignment horizontal="right" vertical="center" wrapText="1"/>
      <protection hidden="1"/>
    </xf>
    <xf numFmtId="0" fontId="66" fillId="0" borderId="0" xfId="0" applyFont="1" applyBorder="1" applyAlignment="1" applyProtection="1">
      <alignment/>
      <protection hidden="1"/>
    </xf>
    <xf numFmtId="0" fontId="5" fillId="0" borderId="0" xfId="0" applyFont="1" applyBorder="1" applyAlignment="1" applyProtection="1">
      <alignment/>
      <protection hidden="1"/>
    </xf>
    <xf numFmtId="0" fontId="66" fillId="0" borderId="0" xfId="0" applyFont="1" applyBorder="1" applyAlignment="1">
      <alignment/>
    </xf>
    <xf numFmtId="0" fontId="70" fillId="0" borderId="0" xfId="0" applyFont="1" applyBorder="1" applyAlignment="1">
      <alignment/>
    </xf>
    <xf numFmtId="0" fontId="65" fillId="0" borderId="0" xfId="0" applyFont="1" applyAlignment="1" applyProtection="1">
      <alignment/>
      <protection hidden="1"/>
    </xf>
    <xf numFmtId="0" fontId="71" fillId="0" borderId="0" xfId="60" applyFont="1" applyProtection="1">
      <alignment/>
      <protection hidden="1"/>
    </xf>
    <xf numFmtId="0" fontId="71" fillId="0" borderId="27" xfId="60" applyFont="1" applyBorder="1" applyProtection="1">
      <alignment/>
      <protection hidden="1"/>
    </xf>
    <xf numFmtId="0" fontId="72" fillId="0" borderId="0" xfId="60" applyFont="1" applyProtection="1">
      <alignment/>
      <protection hidden="1"/>
    </xf>
    <xf numFmtId="0" fontId="71" fillId="0" borderId="0" xfId="60" applyFont="1" applyBorder="1" applyProtection="1">
      <alignment/>
      <protection hidden="1"/>
    </xf>
    <xf numFmtId="0" fontId="67" fillId="0" borderId="0" xfId="0" applyFont="1" applyBorder="1" applyAlignment="1">
      <alignment/>
    </xf>
    <xf numFmtId="0" fontId="67" fillId="0" borderId="0" xfId="60" applyFont="1" applyProtection="1">
      <alignment/>
      <protection hidden="1"/>
    </xf>
    <xf numFmtId="0" fontId="0" fillId="0" borderId="0" xfId="0" applyFont="1" applyAlignment="1" applyProtection="1">
      <alignment/>
      <protection hidden="1"/>
    </xf>
    <xf numFmtId="0" fontId="68" fillId="38" borderId="10" xfId="41" applyFont="1" applyFill="1" applyBorder="1" applyAlignment="1" applyProtection="1">
      <alignment/>
      <protection hidden="1" locked="0"/>
    </xf>
    <xf numFmtId="0" fontId="2" fillId="0" borderId="0" xfId="0" applyFont="1" applyBorder="1" applyAlignment="1">
      <alignment/>
    </xf>
    <xf numFmtId="2" fontId="68" fillId="28" borderId="10" xfId="41" applyNumberFormat="1" applyFont="1" applyBorder="1" applyAlignment="1" applyProtection="1">
      <alignment/>
      <protection hidden="1" locked="0"/>
    </xf>
    <xf numFmtId="0" fontId="73" fillId="33" borderId="0" xfId="60" applyFont="1" applyFill="1" applyProtection="1">
      <alignment/>
      <protection hidden="1"/>
    </xf>
    <xf numFmtId="0" fontId="66" fillId="35" borderId="10" xfId="61" applyFont="1" applyFill="1" applyBorder="1" applyAlignment="1" applyProtection="1">
      <alignment horizontal="left" wrapText="1"/>
      <protection hidden="1"/>
    </xf>
    <xf numFmtId="165" fontId="66" fillId="33" borderId="10" xfId="60" applyNumberFormat="1" applyFont="1" applyFill="1" applyBorder="1" applyAlignment="1" applyProtection="1">
      <alignment horizontal="right" wrapText="1"/>
      <protection hidden="1"/>
    </xf>
    <xf numFmtId="0" fontId="73" fillId="0" borderId="0" xfId="60" applyFont="1" applyBorder="1" applyProtection="1">
      <alignment/>
      <protection hidden="1"/>
    </xf>
    <xf numFmtId="0" fontId="0" fillId="0" borderId="0" xfId="0" applyFont="1" applyAlignment="1" applyProtection="1">
      <alignment/>
      <protection hidden="1"/>
    </xf>
    <xf numFmtId="0" fontId="48" fillId="20" borderId="10" xfId="33" applyNumberFormat="1" applyFont="1" applyBorder="1" applyAlignment="1" applyProtection="1">
      <alignment vertical="center" wrapText="1"/>
      <protection hidden="1"/>
    </xf>
    <xf numFmtId="0" fontId="73" fillId="0" borderId="0" xfId="60" applyFont="1" applyProtection="1">
      <alignment/>
      <protection hidden="1"/>
    </xf>
    <xf numFmtId="0" fontId="66" fillId="0" borderId="10" xfId="63" applyFont="1" applyBorder="1" applyAlignment="1" applyProtection="1">
      <alignment wrapText="1"/>
      <protection hidden="1"/>
    </xf>
    <xf numFmtId="165" fontId="66" fillId="33" borderId="10" xfId="60" applyNumberFormat="1" applyFont="1" applyFill="1" applyBorder="1" applyAlignment="1" applyProtection="1">
      <alignment horizontal="right" vertical="top" wrapText="1"/>
      <protection hidden="1"/>
    </xf>
    <xf numFmtId="6" fontId="0" fillId="0" borderId="0" xfId="0" applyNumberFormat="1" applyAlignment="1" applyProtection="1">
      <alignment/>
      <protection hidden="1"/>
    </xf>
    <xf numFmtId="0" fontId="0" fillId="0" borderId="0" xfId="0" applyNumberFormat="1" applyAlignment="1" applyProtection="1">
      <alignment/>
      <protection hidden="1"/>
    </xf>
    <xf numFmtId="8" fontId="0" fillId="0" borderId="0" xfId="0" applyNumberFormat="1" applyAlignment="1" applyProtection="1">
      <alignment/>
      <protection hidden="1"/>
    </xf>
    <xf numFmtId="1" fontId="0" fillId="0" borderId="0" xfId="0" applyNumberFormat="1" applyAlignment="1" applyProtection="1">
      <alignment/>
      <protection hidden="1"/>
    </xf>
    <xf numFmtId="0" fontId="66" fillId="34" borderId="7" xfId="65" applyFont="1" applyFill="1" applyAlignment="1">
      <alignment/>
    </xf>
    <xf numFmtId="164" fontId="66" fillId="34" borderId="10" xfId="41" applyNumberFormat="1" applyFont="1" applyFill="1" applyBorder="1" applyAlignment="1" applyProtection="1">
      <alignment/>
      <protection hidden="1" locked="0"/>
    </xf>
    <xf numFmtId="0" fontId="66" fillId="34" borderId="10" xfId="41" applyFont="1" applyFill="1" applyBorder="1" applyAlignment="1" applyProtection="1">
      <alignment/>
      <protection hidden="1" locked="0"/>
    </xf>
    <xf numFmtId="0" fontId="67" fillId="35" borderId="10" xfId="60" applyFont="1" applyFill="1" applyBorder="1" applyAlignment="1" applyProtection="1">
      <alignment horizontal="left" wrapText="1"/>
      <protection hidden="1"/>
    </xf>
    <xf numFmtId="0" fontId="6" fillId="35" borderId="10" xfId="60" applyFont="1" applyFill="1" applyBorder="1" applyAlignment="1" applyProtection="1">
      <alignment horizontal="left" wrapText="1"/>
      <protection hidden="1"/>
    </xf>
    <xf numFmtId="3" fontId="2" fillId="0" borderId="10" xfId="42" applyNumberFormat="1" applyFont="1" applyBorder="1" applyAlignment="1" applyProtection="1">
      <alignment/>
      <protection hidden="1"/>
    </xf>
    <xf numFmtId="3" fontId="2" fillId="0" borderId="10" xfId="42" applyNumberFormat="1" applyFont="1" applyBorder="1" applyAlignment="1" applyProtection="1">
      <alignment wrapText="1"/>
      <protection hidden="1"/>
    </xf>
    <xf numFmtId="182" fontId="5" fillId="33" borderId="10" xfId="42" applyNumberFormat="1" applyFont="1" applyFill="1" applyBorder="1" applyAlignment="1" applyProtection="1">
      <alignment horizontal="right"/>
      <protection hidden="1"/>
    </xf>
    <xf numFmtId="0" fontId="5" fillId="35" borderId="10" xfId="0" applyFont="1" applyFill="1" applyBorder="1" applyAlignment="1" applyProtection="1">
      <alignment/>
      <protection hidden="1"/>
    </xf>
    <xf numFmtId="3" fontId="2" fillId="0" borderId="10" xfId="60" applyNumberFormat="1" applyFont="1" applyBorder="1" applyProtection="1">
      <alignment/>
      <protection hidden="1"/>
    </xf>
    <xf numFmtId="0" fontId="5" fillId="35" borderId="10" xfId="60" applyFont="1" applyFill="1" applyBorder="1" applyAlignment="1" applyProtection="1">
      <alignment/>
      <protection hidden="1"/>
    </xf>
    <xf numFmtId="3" fontId="3" fillId="0" borderId="15" xfId="60" applyNumberFormat="1" applyFont="1" applyBorder="1" applyProtection="1">
      <alignment/>
      <protection hidden="1"/>
    </xf>
    <xf numFmtId="0" fontId="66" fillId="35" borderId="10" xfId="60" applyFont="1" applyFill="1" applyBorder="1" applyAlignment="1" applyProtection="1">
      <alignment/>
      <protection hidden="1"/>
    </xf>
    <xf numFmtId="4" fontId="2" fillId="0" borderId="10" xfId="60" applyNumberFormat="1" applyFont="1" applyBorder="1" applyProtection="1">
      <alignment/>
      <protection hidden="1"/>
    </xf>
    <xf numFmtId="0" fontId="0" fillId="0" borderId="0" xfId="0" applyAlignment="1" applyProtection="1">
      <alignment/>
      <protection hidden="1"/>
    </xf>
    <xf numFmtId="0" fontId="6" fillId="35" borderId="0" xfId="60" applyFont="1" applyFill="1" applyBorder="1" applyAlignment="1" applyProtection="1">
      <alignment horizontal="left" wrapText="1"/>
      <protection hidden="1"/>
    </xf>
    <xf numFmtId="1" fontId="66" fillId="34" borderId="10" xfId="41" applyNumberFormat="1" applyFont="1" applyFill="1" applyBorder="1" applyAlignment="1" applyProtection="1">
      <alignment/>
      <protection hidden="1"/>
    </xf>
    <xf numFmtId="165" fontId="2" fillId="0" borderId="10" xfId="41" applyNumberFormat="1" applyFont="1" applyFill="1" applyBorder="1" applyAlignment="1" applyProtection="1">
      <alignment horizontal="right"/>
      <protection hidden="1"/>
    </xf>
    <xf numFmtId="165" fontId="5" fillId="33" borderId="10" xfId="41" applyNumberFormat="1" applyFont="1" applyFill="1" applyBorder="1" applyAlignment="1" applyProtection="1">
      <alignment/>
      <protection hidden="1"/>
    </xf>
    <xf numFmtId="165" fontId="5" fillId="33" borderId="10" xfId="41" applyNumberFormat="1" applyFont="1" applyFill="1" applyBorder="1" applyAlignment="1" applyProtection="1">
      <alignment horizontal="right" vertical="center"/>
      <protection hidden="1"/>
    </xf>
    <xf numFmtId="164" fontId="68" fillId="28" borderId="10" xfId="41" applyNumberFormat="1" applyFont="1" applyBorder="1" applyAlignment="1" applyProtection="1">
      <alignment horizontal="right" vertical="center"/>
      <protection hidden="1" locked="0"/>
    </xf>
    <xf numFmtId="2" fontId="68" fillId="28" borderId="10" xfId="41" applyNumberFormat="1" applyFont="1" applyBorder="1" applyAlignment="1" applyProtection="1">
      <alignment/>
      <protection hidden="1" locked="0"/>
    </xf>
    <xf numFmtId="185" fontId="68" fillId="28" borderId="10" xfId="41" applyNumberFormat="1" applyFont="1" applyBorder="1" applyAlignment="1" applyProtection="1">
      <alignment/>
      <protection hidden="1" locked="0"/>
    </xf>
    <xf numFmtId="164" fontId="68" fillId="28" borderId="10" xfId="41" applyNumberFormat="1" applyFont="1" applyBorder="1" applyAlignment="1" applyProtection="1">
      <alignment horizontal="right"/>
      <protection hidden="1" locked="0"/>
    </xf>
    <xf numFmtId="164" fontId="68" fillId="28" borderId="10" xfId="41" applyNumberFormat="1" applyFont="1" applyBorder="1" applyAlignment="1" applyProtection="1">
      <alignment/>
      <protection hidden="1" locked="0"/>
    </xf>
    <xf numFmtId="3" fontId="68" fillId="28" borderId="10" xfId="41" applyNumberFormat="1" applyFont="1" applyBorder="1" applyAlignment="1" applyProtection="1">
      <alignment horizontal="right"/>
      <protection hidden="1" locked="0"/>
    </xf>
    <xf numFmtId="8" fontId="68" fillId="38" borderId="10" xfId="41" applyNumberFormat="1" applyFont="1" applyFill="1" applyBorder="1" applyAlignment="1" applyProtection="1">
      <alignment/>
      <protection hidden="1" locked="0"/>
    </xf>
    <xf numFmtId="165" fontId="66" fillId="34" borderId="10" xfId="41" applyNumberFormat="1" applyFont="1" applyFill="1" applyBorder="1" applyAlignment="1" applyProtection="1">
      <alignment/>
      <protection hidden="1" locked="0"/>
    </xf>
    <xf numFmtId="0" fontId="74" fillId="35" borderId="10" xfId="60" applyFont="1" applyFill="1" applyBorder="1" applyAlignment="1" applyProtection="1">
      <alignment/>
      <protection hidden="1"/>
    </xf>
    <xf numFmtId="165" fontId="74" fillId="0" borderId="10" xfId="42" applyNumberFormat="1" applyFont="1" applyBorder="1" applyAlignment="1" applyProtection="1">
      <alignment/>
      <protection hidden="1"/>
    </xf>
    <xf numFmtId="0" fontId="74" fillId="37" borderId="10" xfId="60" applyFont="1" applyFill="1" applyBorder="1" applyAlignment="1" applyProtection="1">
      <alignment horizontal="left" wrapText="1"/>
      <protection hidden="1"/>
    </xf>
    <xf numFmtId="0" fontId="74" fillId="37" borderId="10" xfId="60" applyFont="1" applyFill="1" applyBorder="1" applyAlignment="1" applyProtection="1">
      <alignment/>
      <protection hidden="1"/>
    </xf>
    <xf numFmtId="165" fontId="74" fillId="34" borderId="10" xfId="42" applyNumberFormat="1" applyFont="1" applyFill="1" applyBorder="1" applyAlignment="1" applyProtection="1">
      <alignment/>
      <protection hidden="1"/>
    </xf>
    <xf numFmtId="3" fontId="66" fillId="0" borderId="10" xfId="42" applyNumberFormat="1" applyFont="1" applyBorder="1" applyAlignment="1" applyProtection="1">
      <alignment/>
      <protection hidden="1"/>
    </xf>
    <xf numFmtId="4" fontId="66" fillId="0" borderId="10" xfId="42" applyNumberFormat="1" applyFont="1" applyBorder="1" applyAlignment="1" applyProtection="1">
      <alignment/>
      <protection hidden="1"/>
    </xf>
    <xf numFmtId="4" fontId="66" fillId="0" borderId="10" xfId="60" applyNumberFormat="1" applyFont="1" applyBorder="1" applyProtection="1">
      <alignment/>
      <protection hidden="1"/>
    </xf>
    <xf numFmtId="0" fontId="66" fillId="35" borderId="10" xfId="60" applyFont="1" applyFill="1" applyBorder="1" applyAlignment="1" applyProtection="1">
      <alignment horizontal="left"/>
      <protection hidden="1"/>
    </xf>
    <xf numFmtId="164" fontId="66" fillId="0" borderId="10" xfId="42" applyNumberFormat="1" applyFont="1" applyBorder="1" applyAlignment="1" applyProtection="1">
      <alignment/>
      <protection hidden="1"/>
    </xf>
    <xf numFmtId="164" fontId="66" fillId="0" borderId="10" xfId="60" applyNumberFormat="1" applyFont="1" applyBorder="1" applyProtection="1">
      <alignment/>
      <protection hidden="1"/>
    </xf>
    <xf numFmtId="164" fontId="66" fillId="34" borderId="10" xfId="41" applyNumberFormat="1" applyFont="1" applyFill="1" applyBorder="1" applyAlignment="1" applyProtection="1">
      <alignment/>
      <protection hidden="1"/>
    </xf>
    <xf numFmtId="0" fontId="66" fillId="34" borderId="10" xfId="41" applyFont="1" applyFill="1" applyBorder="1" applyAlignment="1" applyProtection="1">
      <alignment/>
      <protection hidden="1"/>
    </xf>
    <xf numFmtId="0" fontId="70" fillId="0" borderId="0" xfId="0" applyFont="1" applyBorder="1" applyAlignment="1" applyProtection="1">
      <alignment/>
      <protection hidden="1"/>
    </xf>
    <xf numFmtId="165" fontId="66" fillId="34" borderId="10" xfId="41" applyNumberFormat="1" applyFont="1" applyFill="1" applyBorder="1" applyAlignment="1" applyProtection="1">
      <alignment/>
      <protection hidden="1"/>
    </xf>
    <xf numFmtId="0" fontId="67" fillId="0" borderId="0" xfId="0" applyFont="1" applyBorder="1" applyAlignment="1" applyProtection="1">
      <alignment/>
      <protection hidden="1"/>
    </xf>
    <xf numFmtId="165" fontId="74" fillId="34" borderId="10" xfId="41" applyNumberFormat="1" applyFont="1" applyFill="1" applyBorder="1" applyAlignment="1" applyProtection="1">
      <alignment/>
      <protection hidden="1"/>
    </xf>
    <xf numFmtId="165" fontId="64" fillId="34" borderId="10" xfId="0" applyNumberFormat="1" applyFont="1" applyFill="1" applyBorder="1" applyAlignment="1" applyProtection="1">
      <alignment/>
      <protection hidden="1"/>
    </xf>
    <xf numFmtId="164" fontId="64" fillId="0" borderId="0" xfId="0" applyNumberFormat="1" applyFont="1" applyBorder="1" applyAlignment="1" applyProtection="1">
      <alignment/>
      <protection hidden="1"/>
    </xf>
    <xf numFmtId="0" fontId="66" fillId="0" borderId="10" xfId="60" applyFont="1" applyBorder="1" applyProtection="1">
      <alignment/>
      <protection hidden="1"/>
    </xf>
    <xf numFmtId="0" fontId="66" fillId="34" borderId="10" xfId="60" applyFont="1" applyFill="1" applyBorder="1" applyAlignment="1" applyProtection="1">
      <alignment wrapText="1"/>
      <protection hidden="1"/>
    </xf>
    <xf numFmtId="165" fontId="66" fillId="34" borderId="10" xfId="60" applyNumberFormat="1" applyFont="1" applyFill="1" applyBorder="1" applyAlignment="1" applyProtection="1">
      <alignment wrapText="1"/>
      <protection hidden="1"/>
    </xf>
    <xf numFmtId="3" fontId="66" fillId="0" borderId="10" xfId="60" applyNumberFormat="1" applyFont="1" applyBorder="1" applyProtection="1">
      <alignment/>
      <protection hidden="1"/>
    </xf>
    <xf numFmtId="3" fontId="66" fillId="0" borderId="10" xfId="60" applyNumberFormat="1" applyFont="1" applyBorder="1" applyAlignment="1" applyProtection="1">
      <alignment wrapText="1"/>
      <protection hidden="1"/>
    </xf>
    <xf numFmtId="3" fontId="74" fillId="0" borderId="10" xfId="60" applyNumberFormat="1" applyFont="1" applyBorder="1" applyProtection="1">
      <alignment/>
      <protection hidden="1"/>
    </xf>
    <xf numFmtId="165" fontId="74" fillId="33" borderId="10" xfId="60" applyNumberFormat="1" applyFont="1" applyFill="1" applyBorder="1" applyAlignment="1" applyProtection="1">
      <alignment/>
      <protection hidden="1"/>
    </xf>
    <xf numFmtId="165" fontId="74" fillId="33" borderId="10" xfId="60" applyNumberFormat="1" applyFont="1" applyFill="1" applyBorder="1" applyAlignment="1" applyProtection="1">
      <alignment wrapText="1"/>
      <protection hidden="1"/>
    </xf>
    <xf numFmtId="0" fontId="66" fillId="35" borderId="10" xfId="0" applyFont="1" applyFill="1" applyBorder="1" applyAlignment="1" applyProtection="1">
      <alignment/>
      <protection hidden="1"/>
    </xf>
    <xf numFmtId="0" fontId="73" fillId="0" borderId="10" xfId="60" applyFont="1" applyBorder="1" applyAlignment="1" applyProtection="1">
      <alignment horizontal="right"/>
      <protection hidden="1"/>
    </xf>
    <xf numFmtId="0" fontId="74" fillId="35" borderId="10" xfId="0" applyFont="1" applyFill="1" applyBorder="1" applyAlignment="1" applyProtection="1">
      <alignment/>
      <protection hidden="1"/>
    </xf>
    <xf numFmtId="3" fontId="74" fillId="33" borderId="10" xfId="60" applyNumberFormat="1" applyFont="1" applyFill="1" applyBorder="1" applyAlignment="1" applyProtection="1">
      <alignment/>
      <protection hidden="1"/>
    </xf>
    <xf numFmtId="0" fontId="5" fillId="0" borderId="0" xfId="60" applyFont="1" applyFill="1" applyProtection="1">
      <alignment/>
      <protection hidden="1"/>
    </xf>
    <xf numFmtId="0" fontId="2" fillId="0" borderId="0" xfId="60" applyAlignment="1" applyProtection="1">
      <alignment horizontal="center"/>
      <protection hidden="1"/>
    </xf>
    <xf numFmtId="0" fontId="3" fillId="0" borderId="0" xfId="60" applyFont="1" applyAlignment="1" applyProtection="1">
      <alignment horizontal="center"/>
      <protection hidden="1"/>
    </xf>
    <xf numFmtId="0" fontId="48" fillId="20" borderId="19" xfId="33" applyNumberFormat="1" applyBorder="1" applyAlignment="1" applyProtection="1">
      <alignment horizontal="left" vertical="center" wrapText="1"/>
      <protection hidden="1"/>
    </xf>
    <xf numFmtId="0" fontId="48" fillId="20" borderId="12" xfId="33" applyNumberFormat="1" applyBorder="1" applyAlignment="1" applyProtection="1">
      <alignment horizontal="left" vertical="center" wrapText="1"/>
      <protection hidden="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rmal_deploy-two"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TCO
</a:t>
            </a:r>
            <a:r>
              <a:rPr lang="en-US" cap="none" sz="1000" b="1" i="0" u="none" baseline="0">
                <a:solidFill>
                  <a:srgbClr val="000000"/>
                </a:solidFill>
                <a:latin typeface="Calibri"/>
                <a:ea typeface="Calibri"/>
                <a:cs typeface="Calibri"/>
              </a:rPr>
              <a:t>Including productivity costs</a:t>
            </a:r>
          </a:p>
        </c:rich>
      </c:tx>
      <c:layout/>
      <c:spPr>
        <a:noFill/>
        <a:ln w="3175">
          <a:noFill/>
        </a:ln>
      </c:spPr>
    </c:title>
    <c:plotArea>
      <c:layout>
        <c:manualLayout>
          <c:xMode val="edge"/>
          <c:yMode val="edge"/>
          <c:x val="0"/>
          <c:y val="0.13625"/>
          <c:w val="0.67325"/>
          <c:h val="0.811"/>
        </c:manualLayout>
      </c:layout>
      <c:barChart>
        <c:barDir val="col"/>
        <c:grouping val="stacked"/>
        <c:varyColors val="0"/>
        <c:ser>
          <c:idx val="0"/>
          <c:order val="0"/>
          <c:tx>
            <c:strRef>
              <c:f>TCO!$B$31</c:f>
              <c:strCache>
                <c:ptCount val="1"/>
                <c:pt idx="0">
                  <c:v>One year's annualized deployment cost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TCO!$C$30:$H$30</c:f>
              <c:strCache/>
            </c:strRef>
          </c:cat>
          <c:val>
            <c:numRef>
              <c:f>TCO!$C$31:$H$31</c:f>
              <c:numCache/>
            </c:numRef>
          </c:val>
        </c:ser>
        <c:ser>
          <c:idx val="1"/>
          <c:order val="1"/>
          <c:tx>
            <c:strRef>
              <c:f>TCO!$B$32</c:f>
              <c:strCache>
                <c:ptCount val="1"/>
                <c:pt idx="0">
                  <c:v>Power per year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TCO!$C$30:$H$30</c:f>
              <c:strCache/>
            </c:strRef>
          </c:cat>
          <c:val>
            <c:numRef>
              <c:f>TCO!$C$32:$H$32</c:f>
              <c:numCache/>
            </c:numRef>
          </c:val>
        </c:ser>
        <c:ser>
          <c:idx val="2"/>
          <c:order val="2"/>
          <c:tx>
            <c:strRef>
              <c:f>TCO!$B$33</c:f>
              <c:strCache>
                <c:ptCount val="1"/>
                <c:pt idx="0">
                  <c:v>Manageability per year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TCO!$C$30:$H$30</c:f>
              <c:strCache/>
            </c:strRef>
          </c:cat>
          <c:val>
            <c:numRef>
              <c:f>TCO!$C$33:$H$33</c:f>
              <c:numCache/>
            </c:numRef>
          </c:val>
        </c:ser>
        <c:ser>
          <c:idx val="4"/>
          <c:order val="3"/>
          <c:tx>
            <c:strRef>
              <c:f>TCO!$B$34</c:f>
              <c:strCache>
                <c:ptCount val="1"/>
                <c:pt idx="0">
                  <c:v>Productivity lost per year</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TCO!$C$30:$H$30</c:f>
              <c:strCache/>
            </c:strRef>
          </c:cat>
          <c:val>
            <c:numRef>
              <c:f>TCO!$C$34:$H$34</c:f>
              <c:numCache/>
            </c:numRef>
          </c:val>
        </c:ser>
        <c:overlap val="100"/>
        <c:axId val="10311319"/>
        <c:axId val="25693008"/>
      </c:barChart>
      <c:catAx>
        <c:axId val="103113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Calibri"/>
                <a:ea typeface="Calibri"/>
                <a:cs typeface="Calibri"/>
              </a:defRPr>
            </a:pPr>
          </a:p>
        </c:txPr>
        <c:crossAx val="25693008"/>
        <c:crosses val="autoZero"/>
        <c:auto val="1"/>
        <c:lblOffset val="100"/>
        <c:tickLblSkip val="1"/>
        <c:noMultiLvlLbl val="0"/>
      </c:catAx>
      <c:valAx>
        <c:axId val="256930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Calibri"/>
                <a:ea typeface="Calibri"/>
                <a:cs typeface="Calibri"/>
              </a:defRPr>
            </a:pPr>
          </a:p>
        </c:txPr>
        <c:crossAx val="10311319"/>
        <c:crossesAt val="1"/>
        <c:crossBetween val="between"/>
        <c:dispUnits/>
      </c:valAx>
      <c:spPr>
        <a:solidFill>
          <a:srgbClr val="FFFFFF"/>
        </a:solidFill>
        <a:ln w="3175">
          <a:noFill/>
        </a:ln>
      </c:spPr>
    </c:plotArea>
    <c:legend>
      <c:legendPos val="r"/>
      <c:layout>
        <c:manualLayout>
          <c:xMode val="edge"/>
          <c:yMode val="edge"/>
          <c:x val="0.7125"/>
          <c:y val="0.3955"/>
          <c:w val="0.27775"/>
          <c:h val="0.334"/>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manageability costs</a:t>
            </a:r>
          </a:p>
        </c:rich>
      </c:tx>
      <c:layout/>
      <c:spPr>
        <a:noFill/>
        <a:ln w="3175">
          <a:noFill/>
        </a:ln>
      </c:spPr>
    </c:title>
    <c:plotArea>
      <c:layout>
        <c:manualLayout>
          <c:xMode val="edge"/>
          <c:yMode val="edge"/>
          <c:x val="0.01925"/>
          <c:y val="0.13225"/>
          <c:w val="0.60825"/>
          <c:h val="0.83925"/>
        </c:manualLayout>
      </c:layout>
      <c:barChart>
        <c:barDir val="col"/>
        <c:grouping val="stacked"/>
        <c:varyColors val="0"/>
        <c:ser>
          <c:idx val="0"/>
          <c:order val="0"/>
          <c:tx>
            <c:strRef>
              <c:f>Manageability!$B$3</c:f>
              <c:strCache>
                <c:ptCount val="1"/>
                <c:pt idx="0">
                  <c:v>Annual cost of inventory</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strRef>
          </c:cat>
          <c:val>
            <c:numRef>
              <c:f>Manageability!$C$3:$H$3</c:f>
              <c:numCache/>
            </c:numRef>
          </c:val>
        </c:ser>
        <c:ser>
          <c:idx val="1"/>
          <c:order val="1"/>
          <c:tx>
            <c:strRef>
              <c:f>Manageability!$B$4</c:f>
              <c:strCache>
                <c:ptCount val="1"/>
                <c:pt idx="0">
                  <c:v>Annual cost for all patch distributions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strRef>
          </c:cat>
          <c:val>
            <c:numRef>
              <c:f>Manageability!$C$4:$H$4</c:f>
              <c:numCache/>
            </c:numRef>
          </c:val>
        </c:ser>
        <c:ser>
          <c:idx val="2"/>
          <c:order val="2"/>
          <c:tx>
            <c:strRef>
              <c:f>Manageability!$B$5</c:f>
              <c:strCache>
                <c:ptCount val="1"/>
                <c:pt idx="0">
                  <c:v>Annual cost of support</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strRef>
          </c:cat>
          <c:val>
            <c:numRef>
              <c:f>Manageability!$C$5:$H$5</c:f>
              <c:numCache/>
            </c:numRef>
          </c:val>
        </c:ser>
        <c:ser>
          <c:idx val="3"/>
          <c:order val="3"/>
          <c:tx>
            <c:strRef>
              <c:f>Manageability!$B$6</c:f>
              <c:strCache>
                <c:ptCount val="1"/>
                <c:pt idx="0">
                  <c:v>Annual cost of move/add/delete</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strRef>
          </c:cat>
          <c:val>
            <c:numRef>
              <c:f>Manageability!$C$6:$H$6</c:f>
              <c:numCache/>
            </c:numRef>
          </c:val>
        </c:ser>
        <c:ser>
          <c:idx val="4"/>
          <c:order val="4"/>
          <c:tx>
            <c:strRef>
              <c:f>Manageability!$B$7</c:f>
              <c:strCache>
                <c:ptCount val="1"/>
                <c:pt idx="0">
                  <c:v>Annual cost of security for all clients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strRef>
          </c:cat>
          <c:val>
            <c:numRef>
              <c:f>Manageability!$C$7:$H$7</c:f>
              <c:numCache/>
            </c:numRef>
          </c:val>
        </c:ser>
        <c:ser>
          <c:idx val="5"/>
          <c:order val="5"/>
          <c:tx>
            <c:strRef>
              <c:f>Manageability!$B$8</c:f>
              <c:strCache>
                <c:ptCount val="1"/>
                <c:pt idx="0">
                  <c:v>Annual cost of compliance for all clients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strRef>
          </c:cat>
          <c:val>
            <c:numRef>
              <c:f>Manageability!$C$8:$H$8</c:f>
              <c:numCache/>
            </c:numRef>
          </c:val>
        </c:ser>
        <c:ser>
          <c:idx val="6"/>
          <c:order val="6"/>
          <c:tx>
            <c:strRef>
              <c:f>Manageability!$B$9</c:f>
              <c:strCache>
                <c:ptCount val="1"/>
                <c:pt idx="0">
                  <c:v>Annual cost of other manageability costs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strRef>
          </c:cat>
          <c:val>
            <c:numRef>
              <c:f>Manageability!$C$9:$H$9</c:f>
              <c:numCache/>
            </c:numRef>
          </c:val>
        </c:ser>
        <c:overlap val="100"/>
        <c:axId val="56996897"/>
        <c:axId val="43210026"/>
      </c:barChart>
      <c:catAx>
        <c:axId val="5699689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Calibri"/>
                <a:ea typeface="Calibri"/>
                <a:cs typeface="Calibri"/>
              </a:defRPr>
            </a:pPr>
          </a:p>
        </c:txPr>
        <c:crossAx val="43210026"/>
        <c:crosses val="autoZero"/>
        <c:auto val="1"/>
        <c:lblOffset val="100"/>
        <c:tickLblSkip val="1"/>
        <c:noMultiLvlLbl val="0"/>
      </c:catAx>
      <c:valAx>
        <c:axId val="432100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96897"/>
        <c:crossesAt val="1"/>
        <c:crossBetween val="between"/>
        <c:dispUnits/>
      </c:valAx>
      <c:spPr>
        <a:solidFill>
          <a:srgbClr val="FFFFFF"/>
        </a:solidFill>
        <a:ln w="3175">
          <a:noFill/>
        </a:ln>
      </c:spPr>
    </c:plotArea>
    <c:legend>
      <c:legendPos val="r"/>
      <c:layout>
        <c:manualLayout>
          <c:xMode val="edge"/>
          <c:yMode val="edge"/>
          <c:x val="0.65675"/>
          <c:y val="0.2155"/>
          <c:w val="0.33525"/>
          <c:h val="0.67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85"/>
          <c:y val="0.12425"/>
          <c:w val="0.96025"/>
          <c:h val="0.84975"/>
        </c:manualLayout>
      </c:layout>
      <c:barChart>
        <c:barDir val="col"/>
        <c:grouping val="stacked"/>
        <c:varyColors val="0"/>
        <c:ser>
          <c:idx val="0"/>
          <c:order val="0"/>
          <c:tx>
            <c:strRef>
              <c:f>Productivity!$B$3</c:f>
              <c:strCache>
                <c:ptCount val="1"/>
                <c:pt idx="0">
                  <c:v>Annual cost of lost productivity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Productivity!$C$2:$H$2</c:f>
              <c:strCache/>
            </c:strRef>
          </c:cat>
          <c:val>
            <c:numRef>
              <c:f>Productivity!$C$3:$H$3</c:f>
              <c:numCache/>
            </c:numRef>
          </c:val>
        </c:ser>
        <c:overlap val="100"/>
        <c:axId val="53345915"/>
        <c:axId val="10351188"/>
      </c:barChart>
      <c:catAx>
        <c:axId val="533459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Calibri"/>
                <a:ea typeface="Calibri"/>
                <a:cs typeface="Calibri"/>
              </a:defRPr>
            </a:pPr>
          </a:p>
        </c:txPr>
        <c:crossAx val="10351188"/>
        <c:crosses val="autoZero"/>
        <c:auto val="1"/>
        <c:lblOffset val="100"/>
        <c:tickLblSkip val="1"/>
        <c:noMultiLvlLbl val="0"/>
      </c:catAx>
      <c:valAx>
        <c:axId val="103511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Calibri"/>
                <a:ea typeface="Calibri"/>
                <a:cs typeface="Calibri"/>
              </a:defRPr>
            </a:pPr>
          </a:p>
        </c:txPr>
        <c:crossAx val="5334591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One-time deployment costs</a:t>
            </a:r>
          </a:p>
        </c:rich>
      </c:tx>
      <c:layout/>
      <c:spPr>
        <a:noFill/>
        <a:ln w="3175">
          <a:noFill/>
        </a:ln>
      </c:spPr>
    </c:title>
    <c:plotArea>
      <c:layout>
        <c:manualLayout>
          <c:xMode val="edge"/>
          <c:yMode val="edge"/>
          <c:x val="0.01875"/>
          <c:y val="0.1175"/>
          <c:w val="0.6045"/>
          <c:h val="0.85775"/>
        </c:manualLayout>
      </c:layout>
      <c:barChart>
        <c:barDir val="col"/>
        <c:grouping val="stacked"/>
        <c:varyColors val="0"/>
        <c:ser>
          <c:idx val="0"/>
          <c:order val="0"/>
          <c:tx>
            <c:strRef>
              <c:f>Deployment!$B$3</c:f>
              <c:strCache>
                <c:ptCount val="1"/>
                <c:pt idx="0">
                  <c:v>Desktop client costs total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Deployment!$C$3:$H$3</c:f>
              <c:numCache>
                <c:ptCount val="6"/>
                <c:pt idx="0">
                  <c:v>9660900</c:v>
                </c:pt>
                <c:pt idx="1">
                  <c:v>10199900</c:v>
                </c:pt>
                <c:pt idx="2">
                  <c:v>9081400</c:v>
                </c:pt>
                <c:pt idx="3">
                  <c:v>10739900</c:v>
                </c:pt>
                <c:pt idx="4">
                  <c:v>7523400</c:v>
                </c:pt>
                <c:pt idx="5">
                  <c:v>10774900</c:v>
                </c:pt>
              </c:numCache>
            </c:numRef>
          </c:val>
        </c:ser>
        <c:ser>
          <c:idx val="1"/>
          <c:order val="1"/>
          <c:tx>
            <c:strRef>
              <c:f>Deployment!$B$4</c:f>
              <c:strCache>
                <c:ptCount val="1"/>
                <c:pt idx="0">
                  <c:v>Blade PC costs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Deployment!$C$4:$H$4</c:f>
              <c:numCache>
                <c:ptCount val="6"/>
                <c:pt idx="0">
                  <c:v>0</c:v>
                </c:pt>
                <c:pt idx="1">
                  <c:v>0</c:v>
                </c:pt>
                <c:pt idx="2">
                  <c:v>0</c:v>
                </c:pt>
                <c:pt idx="3">
                  <c:v>0</c:v>
                </c:pt>
                <c:pt idx="4">
                  <c:v>14075500</c:v>
                </c:pt>
                <c:pt idx="5">
                  <c:v>0</c:v>
                </c:pt>
              </c:numCache>
            </c:numRef>
          </c:val>
        </c:ser>
        <c:ser>
          <c:idx val="2"/>
          <c:order val="2"/>
          <c:tx>
            <c:strRef>
              <c:f>Deployment!$B$5</c:f>
              <c:strCache>
                <c:ptCount val="1"/>
                <c:pt idx="0">
                  <c:v>Server costs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Deployment!$C$5:$H$5</c:f>
              <c:numCache>
                <c:ptCount val="6"/>
                <c:pt idx="0">
                  <c:v>2486040</c:v>
                </c:pt>
                <c:pt idx="1">
                  <c:v>171870</c:v>
                </c:pt>
                <c:pt idx="2">
                  <c:v>5212056</c:v>
                </c:pt>
                <c:pt idx="3">
                  <c:v>1763090</c:v>
                </c:pt>
                <c:pt idx="4">
                  <c:v>955730</c:v>
                </c:pt>
                <c:pt idx="5">
                  <c:v>651490</c:v>
                </c:pt>
              </c:numCache>
            </c:numRef>
          </c:val>
        </c:ser>
        <c:ser>
          <c:idx val="4"/>
          <c:order val="3"/>
          <c:tx>
            <c:strRef>
              <c:f>Deployment!$B$6</c:f>
              <c:strCache>
                <c:ptCount val="1"/>
                <c:pt idx="0">
                  <c:v>Data center costs (excluding power costs)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Deployment!$C$6:$H$6</c:f>
              <c:numCache>
                <c:ptCount val="6"/>
                <c:pt idx="0">
                  <c:v>500939</c:v>
                </c:pt>
                <c:pt idx="1">
                  <c:v>58934</c:v>
                </c:pt>
                <c:pt idx="2">
                  <c:v>736675</c:v>
                </c:pt>
                <c:pt idx="3">
                  <c:v>235736</c:v>
                </c:pt>
                <c:pt idx="4">
                  <c:v>1090279</c:v>
                </c:pt>
                <c:pt idx="5">
                  <c:v>147335</c:v>
                </c:pt>
              </c:numCache>
            </c:numRef>
          </c:val>
        </c:ser>
        <c:ser>
          <c:idx val="5"/>
          <c:order val="4"/>
          <c:tx>
            <c:strRef>
              <c:f>Deployment!$B$7</c:f>
              <c:strCache>
                <c:ptCount val="1"/>
                <c:pt idx="0">
                  <c:v>Implementation costs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Deployment!$C$7:$H$7</c:f>
              <c:numCache>
                <c:ptCount val="6"/>
                <c:pt idx="0">
                  <c:v>464265</c:v>
                </c:pt>
                <c:pt idx="1">
                  <c:v>33563</c:v>
                </c:pt>
                <c:pt idx="2">
                  <c:v>695336</c:v>
                </c:pt>
                <c:pt idx="3">
                  <c:v>255186</c:v>
                </c:pt>
                <c:pt idx="4">
                  <c:v>89954</c:v>
                </c:pt>
                <c:pt idx="5">
                  <c:v>192408</c:v>
                </c:pt>
              </c:numCache>
            </c:numRef>
          </c:val>
        </c:ser>
        <c:ser>
          <c:idx val="6"/>
          <c:order val="5"/>
          <c:tx>
            <c:strRef>
              <c:f>Deployment!$B$8</c:f>
              <c:strCache>
                <c:ptCount val="1"/>
                <c:pt idx="0">
                  <c:v>Training costs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Deployment!$C$8:$H$8</c:f>
              <c:numCache>
                <c:ptCount val="6"/>
                <c:pt idx="0">
                  <c:v>1559659.54</c:v>
                </c:pt>
                <c:pt idx="1">
                  <c:v>0</c:v>
                </c:pt>
                <c:pt idx="2">
                  <c:v>1150450.3599999999</c:v>
                </c:pt>
                <c:pt idx="3">
                  <c:v>580256.1799999999</c:v>
                </c:pt>
                <c:pt idx="4">
                  <c:v>1090081.3599999999</c:v>
                </c:pt>
                <c:pt idx="5">
                  <c:v>565164.1799999999</c:v>
                </c:pt>
              </c:numCache>
            </c:numRef>
          </c:val>
        </c:ser>
        <c:ser>
          <c:idx val="7"/>
          <c:order val="6"/>
          <c:tx>
            <c:strRef>
              <c:f>Deployment!$B$9</c:f>
              <c:strCache>
                <c:ptCount val="1"/>
                <c:pt idx="0">
                  <c:v>Application porting and replacement costs</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Deployment!$C$9:$H$9</c:f>
              <c:numCache>
                <c:ptCount val="6"/>
                <c:pt idx="0">
                  <c:v>3507932</c:v>
                </c:pt>
                <c:pt idx="1">
                  <c:v>37962</c:v>
                </c:pt>
                <c:pt idx="2">
                  <c:v>208791</c:v>
                </c:pt>
                <c:pt idx="3">
                  <c:v>227772</c:v>
                </c:pt>
                <c:pt idx="4">
                  <c:v>189810</c:v>
                </c:pt>
                <c:pt idx="5">
                  <c:v>197402</c:v>
                </c:pt>
              </c:numCache>
            </c:numRef>
          </c:val>
        </c:ser>
        <c:overlap val="100"/>
        <c:axId val="29910481"/>
        <c:axId val="758874"/>
      </c:barChart>
      <c:catAx>
        <c:axId val="299104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Calibri"/>
                <a:ea typeface="Calibri"/>
                <a:cs typeface="Calibri"/>
              </a:defRPr>
            </a:pPr>
          </a:p>
        </c:txPr>
        <c:crossAx val="758874"/>
        <c:crosses val="autoZero"/>
        <c:auto val="1"/>
        <c:lblOffset val="100"/>
        <c:tickLblSkip val="1"/>
        <c:noMultiLvlLbl val="0"/>
      </c:catAx>
      <c:valAx>
        <c:axId val="7588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Calibri"/>
                <a:ea typeface="Calibri"/>
                <a:cs typeface="Calibri"/>
              </a:defRPr>
            </a:pPr>
          </a:p>
        </c:txPr>
        <c:crossAx val="29910481"/>
        <c:crossesAt val="1"/>
        <c:crossBetween val="between"/>
        <c:dispUnits/>
      </c:valAx>
      <c:spPr>
        <a:solidFill>
          <a:srgbClr val="FFFFFF"/>
        </a:solidFill>
        <a:ln w="3175">
          <a:noFill/>
        </a:ln>
      </c:spPr>
    </c:plotArea>
    <c:legend>
      <c:legendPos val="r"/>
      <c:layout>
        <c:manualLayout>
          <c:xMode val="edge"/>
          <c:yMode val="edge"/>
          <c:x val="0.6505"/>
          <c:y val="0.2195"/>
          <c:w val="0.33975"/>
          <c:h val="0.64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manageability costs</a:t>
            </a:r>
          </a:p>
        </c:rich>
      </c:tx>
      <c:layout/>
      <c:spPr>
        <a:noFill/>
        <a:ln w="3175">
          <a:noFill/>
        </a:ln>
      </c:spPr>
    </c:title>
    <c:plotArea>
      <c:layout>
        <c:manualLayout>
          <c:xMode val="edge"/>
          <c:yMode val="edge"/>
          <c:x val="0.01875"/>
          <c:y val="0.12675"/>
          <c:w val="0.59775"/>
          <c:h val="0.84675"/>
        </c:manualLayout>
      </c:layout>
      <c:barChart>
        <c:barDir val="col"/>
        <c:grouping val="stacked"/>
        <c:varyColors val="0"/>
        <c:ser>
          <c:idx val="0"/>
          <c:order val="0"/>
          <c:tx>
            <c:strRef>
              <c:f>Manageability!$B$3</c:f>
              <c:strCache>
                <c:ptCount val="1"/>
                <c:pt idx="0">
                  <c:v>Annual cost of inventory</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Manageability!$C$3:$H$3</c:f>
              <c:numCache>
                <c:ptCount val="6"/>
                <c:pt idx="0">
                  <c:v>198924</c:v>
                </c:pt>
                <c:pt idx="1">
                  <c:v>528432</c:v>
                </c:pt>
                <c:pt idx="2">
                  <c:v>198924</c:v>
                </c:pt>
                <c:pt idx="3">
                  <c:v>198924</c:v>
                </c:pt>
                <c:pt idx="4">
                  <c:v>198924</c:v>
                </c:pt>
                <c:pt idx="5">
                  <c:v>198924</c:v>
                </c:pt>
              </c:numCache>
            </c:numRef>
          </c:val>
        </c:ser>
        <c:ser>
          <c:idx val="1"/>
          <c:order val="1"/>
          <c:tx>
            <c:strRef>
              <c:f>Manageability!$B$4</c:f>
              <c:strCache>
                <c:ptCount val="1"/>
                <c:pt idx="0">
                  <c:v>Annual cost for all patch distributions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Manageability!$C$4:$H$4</c:f>
              <c:numCache>
                <c:ptCount val="6"/>
                <c:pt idx="0">
                  <c:v>127190</c:v>
                </c:pt>
                <c:pt idx="1">
                  <c:v>466396</c:v>
                </c:pt>
                <c:pt idx="2">
                  <c:v>127190</c:v>
                </c:pt>
                <c:pt idx="3">
                  <c:v>163856</c:v>
                </c:pt>
                <c:pt idx="4">
                  <c:v>127190</c:v>
                </c:pt>
                <c:pt idx="5">
                  <c:v>163856</c:v>
                </c:pt>
              </c:numCache>
            </c:numRef>
          </c:val>
        </c:ser>
        <c:ser>
          <c:idx val="2"/>
          <c:order val="2"/>
          <c:tx>
            <c:strRef>
              <c:f>Manageability!$B$5</c:f>
              <c:strCache>
                <c:ptCount val="1"/>
                <c:pt idx="0">
                  <c:v>Annual cost of support</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Manageability!$C$5:$H$5</c:f>
              <c:numCache>
                <c:ptCount val="6"/>
                <c:pt idx="0">
                  <c:v>1792629</c:v>
                </c:pt>
                <c:pt idx="1">
                  <c:v>4745250</c:v>
                </c:pt>
                <c:pt idx="2">
                  <c:v>1792629</c:v>
                </c:pt>
                <c:pt idx="3">
                  <c:v>2372625</c:v>
                </c:pt>
                <c:pt idx="4">
                  <c:v>1792629</c:v>
                </c:pt>
                <c:pt idx="5">
                  <c:v>2794446</c:v>
                </c:pt>
              </c:numCache>
            </c:numRef>
          </c:val>
        </c:ser>
        <c:ser>
          <c:idx val="3"/>
          <c:order val="3"/>
          <c:tx>
            <c:strRef>
              <c:f>Manageability!$B$6</c:f>
              <c:strCache>
                <c:ptCount val="1"/>
                <c:pt idx="0">
                  <c:v>Annual cost of move/add/delete</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Manageability!$C$6:$H$6</c:f>
              <c:numCache>
                <c:ptCount val="6"/>
                <c:pt idx="0">
                  <c:v>478000</c:v>
                </c:pt>
                <c:pt idx="1">
                  <c:v>704500</c:v>
                </c:pt>
                <c:pt idx="2">
                  <c:v>478000</c:v>
                </c:pt>
                <c:pt idx="3">
                  <c:v>505500</c:v>
                </c:pt>
                <c:pt idx="4">
                  <c:v>478000</c:v>
                </c:pt>
                <c:pt idx="5">
                  <c:v>583500</c:v>
                </c:pt>
              </c:numCache>
            </c:numRef>
          </c:val>
        </c:ser>
        <c:ser>
          <c:idx val="4"/>
          <c:order val="4"/>
          <c:tx>
            <c:strRef>
              <c:f>Manageability!$B$7</c:f>
              <c:strCache>
                <c:ptCount val="1"/>
                <c:pt idx="0">
                  <c:v>Annual cost of security for all clients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Manageability!$C$7:$H$7</c:f>
              <c:numCache>
                <c:ptCount val="6"/>
                <c:pt idx="0">
                  <c:v>151800</c:v>
                </c:pt>
                <c:pt idx="1">
                  <c:v>474500</c:v>
                </c:pt>
                <c:pt idx="2">
                  <c:v>151800</c:v>
                </c:pt>
                <c:pt idx="3">
                  <c:v>177200</c:v>
                </c:pt>
                <c:pt idx="4">
                  <c:v>151800</c:v>
                </c:pt>
                <c:pt idx="5">
                  <c:v>177200</c:v>
                </c:pt>
              </c:numCache>
            </c:numRef>
          </c:val>
        </c:ser>
        <c:ser>
          <c:idx val="5"/>
          <c:order val="5"/>
          <c:tx>
            <c:strRef>
              <c:f>Manageability!$B$8</c:f>
              <c:strCache>
                <c:ptCount val="1"/>
                <c:pt idx="0">
                  <c:v>Annual cost of compliance for all clients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Manageability!$C$8:$H$8</c:f>
              <c:numCache>
                <c:ptCount val="6"/>
                <c:pt idx="0">
                  <c:v>101200</c:v>
                </c:pt>
                <c:pt idx="1">
                  <c:v>259400</c:v>
                </c:pt>
                <c:pt idx="2">
                  <c:v>101200</c:v>
                </c:pt>
                <c:pt idx="3">
                  <c:v>107600</c:v>
                </c:pt>
                <c:pt idx="4">
                  <c:v>101200</c:v>
                </c:pt>
                <c:pt idx="5">
                  <c:v>107600</c:v>
                </c:pt>
              </c:numCache>
            </c:numRef>
          </c:val>
        </c:ser>
        <c:ser>
          <c:idx val="6"/>
          <c:order val="6"/>
          <c:tx>
            <c:strRef>
              <c:f>Manageability!$B$9</c:f>
              <c:strCache>
                <c:ptCount val="1"/>
                <c:pt idx="0">
                  <c:v>Annual cost of other manageability costs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Manageability!$C$2:$H$2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Manageability!$C$9:$H$9</c:f>
              <c:numCache>
                <c:ptCount val="6"/>
                <c:pt idx="0">
                  <c:v>607600</c:v>
                </c:pt>
                <c:pt idx="1">
                  <c:v>40300</c:v>
                </c:pt>
                <c:pt idx="2">
                  <c:v>923800</c:v>
                </c:pt>
                <c:pt idx="3">
                  <c:v>282100</c:v>
                </c:pt>
                <c:pt idx="4">
                  <c:v>83700</c:v>
                </c:pt>
                <c:pt idx="5">
                  <c:v>158100</c:v>
                </c:pt>
              </c:numCache>
            </c:numRef>
          </c:val>
        </c:ser>
        <c:overlap val="100"/>
        <c:axId val="6829867"/>
        <c:axId val="61468804"/>
      </c:barChart>
      <c:catAx>
        <c:axId val="68298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Calibri"/>
                <a:ea typeface="Calibri"/>
                <a:cs typeface="Calibri"/>
              </a:defRPr>
            </a:pPr>
          </a:p>
        </c:txPr>
        <c:crossAx val="61468804"/>
        <c:crosses val="autoZero"/>
        <c:auto val="1"/>
        <c:lblOffset val="100"/>
        <c:tickLblSkip val="1"/>
        <c:noMultiLvlLbl val="0"/>
      </c:catAx>
      <c:valAx>
        <c:axId val="614688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Calibri"/>
                <a:ea typeface="Calibri"/>
                <a:cs typeface="Calibri"/>
              </a:defRPr>
            </a:pPr>
          </a:p>
        </c:txPr>
        <c:crossAx val="6829867"/>
        <c:crossesAt val="1"/>
        <c:crossBetween val="between"/>
        <c:dispUnits/>
      </c:valAx>
      <c:spPr>
        <a:solidFill>
          <a:srgbClr val="FFFFFF"/>
        </a:solidFill>
        <a:ln w="3175">
          <a:noFill/>
        </a:ln>
      </c:spPr>
    </c:plotArea>
    <c:legend>
      <c:legendPos val="r"/>
      <c:layout>
        <c:manualLayout>
          <c:xMode val="edge"/>
          <c:yMode val="edge"/>
          <c:x val="0.64475"/>
          <c:y val="0.22625"/>
          <c:w val="0.3475"/>
          <c:h val="0.6442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TCO
</a:t>
            </a:r>
            <a:r>
              <a:rPr lang="en-US" cap="none" sz="900" b="1" i="0" u="none" baseline="0">
                <a:solidFill>
                  <a:srgbClr val="000000"/>
                </a:solidFill>
                <a:latin typeface="Calibri"/>
                <a:ea typeface="Calibri"/>
                <a:cs typeface="Calibri"/>
              </a:rPr>
              <a:t>Excluding productivity costs</a:t>
            </a:r>
          </a:p>
        </c:rich>
      </c:tx>
      <c:layout/>
      <c:spPr>
        <a:noFill/>
        <a:ln w="3175">
          <a:noFill/>
        </a:ln>
      </c:spPr>
    </c:title>
    <c:plotArea>
      <c:layout>
        <c:manualLayout>
          <c:xMode val="edge"/>
          <c:yMode val="edge"/>
          <c:x val="0.0095"/>
          <c:y val="0.1335"/>
          <c:w val="0.6755"/>
          <c:h val="0.85675"/>
        </c:manualLayout>
      </c:layout>
      <c:barChart>
        <c:barDir val="col"/>
        <c:grouping val="stacked"/>
        <c:varyColors val="0"/>
        <c:ser>
          <c:idx val="0"/>
          <c:order val="0"/>
          <c:tx>
            <c:strRef>
              <c:f>TCO!$B$31</c:f>
              <c:strCache>
                <c:ptCount val="1"/>
                <c:pt idx="0">
                  <c:v>One year's annualized deployment cost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TCO!$C$30:$H$30</c:f>
              <c:strCache/>
            </c:strRef>
          </c:cat>
          <c:val>
            <c:numRef>
              <c:f>TCO!$C$31:$H$31</c:f>
              <c:numCache/>
            </c:numRef>
          </c:val>
        </c:ser>
        <c:ser>
          <c:idx val="1"/>
          <c:order val="1"/>
          <c:tx>
            <c:strRef>
              <c:f>TCO!$B$32</c:f>
              <c:strCache>
                <c:ptCount val="1"/>
                <c:pt idx="0">
                  <c:v>Power per year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TCO!$C$30:$H$30</c:f>
              <c:strCache/>
            </c:strRef>
          </c:cat>
          <c:val>
            <c:numRef>
              <c:f>TCO!$C$32:$H$32</c:f>
              <c:numCache/>
            </c:numRef>
          </c:val>
        </c:ser>
        <c:ser>
          <c:idx val="2"/>
          <c:order val="2"/>
          <c:tx>
            <c:strRef>
              <c:f>TCO!$B$33</c:f>
              <c:strCache>
                <c:ptCount val="1"/>
                <c:pt idx="0">
                  <c:v>Manageability per year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TCO!$C$30:$H$30</c:f>
              <c:strCache/>
            </c:strRef>
          </c:cat>
          <c:val>
            <c:numRef>
              <c:f>TCO!$C$33:$H$33</c:f>
              <c:numCache/>
            </c:numRef>
          </c:val>
        </c:ser>
        <c:overlap val="100"/>
        <c:axId val="16348325"/>
        <c:axId val="12917198"/>
      </c:barChart>
      <c:catAx>
        <c:axId val="163483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Calibri"/>
                <a:ea typeface="Calibri"/>
                <a:cs typeface="Calibri"/>
              </a:defRPr>
            </a:pPr>
          </a:p>
        </c:txPr>
        <c:crossAx val="12917198"/>
        <c:crosses val="autoZero"/>
        <c:auto val="1"/>
        <c:lblOffset val="100"/>
        <c:tickLblSkip val="1"/>
        <c:noMultiLvlLbl val="0"/>
      </c:catAx>
      <c:valAx>
        <c:axId val="129171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Calibri"/>
                <a:ea typeface="Calibri"/>
                <a:cs typeface="Calibri"/>
              </a:defRPr>
            </a:pPr>
          </a:p>
        </c:txPr>
        <c:crossAx val="16348325"/>
        <c:crossesAt val="1"/>
        <c:crossBetween val="between"/>
        <c:dispUnits/>
      </c:valAx>
      <c:spPr>
        <a:solidFill>
          <a:srgbClr val="FFFFFF"/>
        </a:solidFill>
        <a:ln w="3175">
          <a:noFill/>
        </a:ln>
      </c:spPr>
    </c:plotArea>
    <c:legend>
      <c:legendPos val="r"/>
      <c:layout>
        <c:manualLayout>
          <c:xMode val="edge"/>
          <c:yMode val="edge"/>
          <c:x val="0.6845"/>
          <c:y val="0.39325"/>
          <c:w val="0.3155"/>
          <c:h val="0.334"/>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power costs</a:t>
            </a:r>
          </a:p>
        </c:rich>
      </c:tx>
      <c:layout/>
      <c:spPr>
        <a:noFill/>
        <a:ln w="3175">
          <a:noFill/>
        </a:ln>
      </c:spPr>
    </c:title>
    <c:plotArea>
      <c:layout>
        <c:manualLayout>
          <c:xMode val="edge"/>
          <c:yMode val="edge"/>
          <c:x val="0.014"/>
          <c:y val="0.115"/>
          <c:w val="0.953"/>
          <c:h val="0.848"/>
        </c:manualLayout>
      </c:layout>
      <c:barChart>
        <c:barDir val="col"/>
        <c:grouping val="stacked"/>
        <c:varyColors val="0"/>
        <c:ser>
          <c:idx val="0"/>
          <c:order val="0"/>
          <c:tx>
            <c:strRef>
              <c:f>Power!$B$55</c:f>
              <c:strCache>
                <c:ptCount val="1"/>
                <c:pt idx="0">
                  <c:v>Cost of total power per year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Power!$C$2:$H$2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Power!$C$55:$H$55</c:f>
              <c:numCache>
                <c:ptCount val="6"/>
                <c:pt idx="0">
                  <c:v>253830</c:v>
                </c:pt>
                <c:pt idx="1">
                  <c:v>402884</c:v>
                </c:pt>
                <c:pt idx="2">
                  <c:v>312159</c:v>
                </c:pt>
                <c:pt idx="3">
                  <c:v>447488</c:v>
                </c:pt>
                <c:pt idx="4">
                  <c:v>565342</c:v>
                </c:pt>
                <c:pt idx="5">
                  <c:v>424614</c:v>
                </c:pt>
              </c:numCache>
            </c:numRef>
          </c:val>
        </c:ser>
        <c:overlap val="100"/>
        <c:axId val="49145919"/>
        <c:axId val="39660088"/>
      </c:barChart>
      <c:catAx>
        <c:axId val="491459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Calibri"/>
                <a:ea typeface="Calibri"/>
                <a:cs typeface="Calibri"/>
              </a:defRPr>
            </a:pPr>
          </a:p>
        </c:txPr>
        <c:crossAx val="39660088"/>
        <c:crosses val="autoZero"/>
        <c:auto val="1"/>
        <c:lblOffset val="100"/>
        <c:tickLblSkip val="1"/>
        <c:noMultiLvlLbl val="0"/>
      </c:catAx>
      <c:valAx>
        <c:axId val="396600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1459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cost of lost productivity</a:t>
            </a:r>
          </a:p>
        </c:rich>
      </c:tx>
      <c:layout/>
      <c:spPr>
        <a:noFill/>
        <a:ln w="3175">
          <a:noFill/>
        </a:ln>
      </c:spPr>
    </c:title>
    <c:plotArea>
      <c:layout>
        <c:manualLayout>
          <c:xMode val="edge"/>
          <c:yMode val="edge"/>
          <c:x val="0.01975"/>
          <c:y val="0.127"/>
          <c:w val="0.9575"/>
          <c:h val="0.8465"/>
        </c:manualLayout>
      </c:layout>
      <c:barChart>
        <c:barDir val="col"/>
        <c:grouping val="stacked"/>
        <c:varyColors val="0"/>
        <c:ser>
          <c:idx val="0"/>
          <c:order val="0"/>
          <c:tx>
            <c:strRef>
              <c:f>Productivity!$B$3</c:f>
              <c:strCache>
                <c:ptCount val="1"/>
                <c:pt idx="0">
                  <c:v>Annual cost of lost productivity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Productivity!$C$2:$H$2</c:f>
              <c:strCache>
                <c:ptCount val="6"/>
                <c:pt idx="0">
                  <c:v>Terminal/ Presentation server</c:v>
                </c:pt>
                <c:pt idx="1">
                  <c:v>Typically  managed rich desktop</c:v>
                </c:pt>
                <c:pt idx="2">
                  <c:v>Virtual hosted desktop</c:v>
                </c:pt>
                <c:pt idx="3">
                  <c:v>Well-managed OS streaming/vPro</c:v>
                </c:pt>
                <c:pt idx="4">
                  <c:v>Blade PC desktop</c:v>
                </c:pt>
                <c:pt idx="5">
                  <c:v>Well-managed application streaming/vPro</c:v>
                </c:pt>
              </c:strCache>
            </c:strRef>
          </c:cat>
          <c:val>
            <c:numRef>
              <c:f>Productivity!$C$3:$H$3</c:f>
              <c:numCache>
                <c:ptCount val="6"/>
                <c:pt idx="0">
                  <c:v>5439000</c:v>
                </c:pt>
                <c:pt idx="1">
                  <c:v>0</c:v>
                </c:pt>
                <c:pt idx="2">
                  <c:v>5831000</c:v>
                </c:pt>
                <c:pt idx="3">
                  <c:v>1274000</c:v>
                </c:pt>
                <c:pt idx="4">
                  <c:v>12789000</c:v>
                </c:pt>
                <c:pt idx="5">
                  <c:v>0</c:v>
                </c:pt>
              </c:numCache>
            </c:numRef>
          </c:val>
        </c:ser>
        <c:overlap val="100"/>
        <c:axId val="21396473"/>
        <c:axId val="58350530"/>
      </c:barChart>
      <c:catAx>
        <c:axId val="213964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Calibri"/>
                <a:ea typeface="Calibri"/>
                <a:cs typeface="Calibri"/>
              </a:defRPr>
            </a:pPr>
          </a:p>
        </c:txPr>
        <c:crossAx val="58350530"/>
        <c:crosses val="autoZero"/>
        <c:auto val="1"/>
        <c:lblOffset val="100"/>
        <c:tickLblSkip val="1"/>
        <c:noMultiLvlLbl val="0"/>
      </c:catAx>
      <c:valAx>
        <c:axId val="583505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Calibri"/>
                <a:ea typeface="Calibri"/>
                <a:cs typeface="Calibri"/>
              </a:defRPr>
            </a:pPr>
          </a:p>
        </c:txPr>
        <c:crossAx val="2139647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power costs</a:t>
            </a:r>
          </a:p>
        </c:rich>
      </c:tx>
      <c:layout/>
      <c:spPr>
        <a:noFill/>
        <a:ln w="3175">
          <a:noFill/>
        </a:ln>
      </c:spPr>
    </c:title>
    <c:plotArea>
      <c:layout>
        <c:manualLayout>
          <c:xMode val="edge"/>
          <c:yMode val="edge"/>
          <c:x val="0.01875"/>
          <c:y val="0.1295"/>
          <c:w val="0.96"/>
          <c:h val="0.8425"/>
        </c:manualLayout>
      </c:layout>
      <c:barChart>
        <c:barDir val="col"/>
        <c:grouping val="stacked"/>
        <c:varyColors val="0"/>
        <c:ser>
          <c:idx val="0"/>
          <c:order val="0"/>
          <c:tx>
            <c:strRef>
              <c:f>Power!$B$55</c:f>
              <c:strCache>
                <c:ptCount val="1"/>
                <c:pt idx="0">
                  <c:v>Cost of total power per year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Power!$C$2:$H$2</c:f>
              <c:strCache/>
            </c:strRef>
          </c:cat>
          <c:val>
            <c:numRef>
              <c:f>Power!$C$55:$H$55</c:f>
              <c:numCache/>
            </c:numRef>
          </c:val>
        </c:ser>
        <c:overlap val="100"/>
        <c:axId val="55392723"/>
        <c:axId val="28772460"/>
      </c:barChart>
      <c:catAx>
        <c:axId val="553927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Calibri"/>
                <a:ea typeface="Calibri"/>
                <a:cs typeface="Calibri"/>
              </a:defRPr>
            </a:pPr>
          </a:p>
        </c:txPr>
        <c:crossAx val="28772460"/>
        <c:crosses val="autoZero"/>
        <c:auto val="1"/>
        <c:lblOffset val="100"/>
        <c:tickLblSkip val="1"/>
        <c:noMultiLvlLbl val="0"/>
      </c:catAx>
      <c:valAx>
        <c:axId val="287724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Calibri"/>
                <a:ea typeface="Calibri"/>
                <a:cs typeface="Calibri"/>
              </a:defRPr>
            </a:pPr>
          </a:p>
        </c:txPr>
        <c:crossAx val="5539272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One-time deployment costs</a:t>
            </a:r>
          </a:p>
        </c:rich>
      </c:tx>
      <c:layout/>
      <c:spPr>
        <a:noFill/>
        <a:ln w="3175">
          <a:noFill/>
        </a:ln>
      </c:spPr>
    </c:title>
    <c:plotArea>
      <c:layout>
        <c:manualLayout>
          <c:xMode val="edge"/>
          <c:yMode val="edge"/>
          <c:x val="0.01825"/>
          <c:y val="0.1245"/>
          <c:w val="0.64225"/>
          <c:h val="0.8495"/>
        </c:manualLayout>
      </c:layout>
      <c:barChart>
        <c:barDir val="col"/>
        <c:grouping val="stacked"/>
        <c:varyColors val="0"/>
        <c:ser>
          <c:idx val="0"/>
          <c:order val="0"/>
          <c:tx>
            <c:strRef>
              <c:f>Deployment!$B$3</c:f>
              <c:strCache>
                <c:ptCount val="1"/>
                <c:pt idx="0">
                  <c:v>Desktop client costs total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strRef>
          </c:cat>
          <c:val>
            <c:numRef>
              <c:f>Deployment!$C$3:$H$3</c:f>
              <c:numCache/>
            </c:numRef>
          </c:val>
        </c:ser>
        <c:ser>
          <c:idx val="1"/>
          <c:order val="1"/>
          <c:tx>
            <c:strRef>
              <c:f>Deployment!$B$4</c:f>
              <c:strCache>
                <c:ptCount val="1"/>
                <c:pt idx="0">
                  <c:v>Blade PC costs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strRef>
          </c:cat>
          <c:val>
            <c:numRef>
              <c:f>Deployment!$C$4:$H$4</c:f>
              <c:numCache/>
            </c:numRef>
          </c:val>
        </c:ser>
        <c:ser>
          <c:idx val="2"/>
          <c:order val="2"/>
          <c:tx>
            <c:strRef>
              <c:f>Deployment!$B$5</c:f>
              <c:strCache>
                <c:ptCount val="1"/>
                <c:pt idx="0">
                  <c:v>Server costs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strRef>
          </c:cat>
          <c:val>
            <c:numRef>
              <c:f>Deployment!$C$5:$H$5</c:f>
              <c:numCache/>
            </c:numRef>
          </c:val>
        </c:ser>
        <c:ser>
          <c:idx val="4"/>
          <c:order val="3"/>
          <c:tx>
            <c:strRef>
              <c:f>Deployment!$B$6</c:f>
              <c:strCache>
                <c:ptCount val="1"/>
                <c:pt idx="0">
                  <c:v>Data center costs (excluding power costs)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strRef>
          </c:cat>
          <c:val>
            <c:numRef>
              <c:f>Deployment!$C$6:$H$6</c:f>
              <c:numCache/>
            </c:numRef>
          </c:val>
        </c:ser>
        <c:ser>
          <c:idx val="5"/>
          <c:order val="4"/>
          <c:tx>
            <c:strRef>
              <c:f>Deployment!$B$7</c:f>
              <c:strCache>
                <c:ptCount val="1"/>
                <c:pt idx="0">
                  <c:v>Implementation costs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strRef>
          </c:cat>
          <c:val>
            <c:numRef>
              <c:f>Deployment!$C$7:$H$7</c:f>
              <c:numCache/>
            </c:numRef>
          </c:val>
        </c:ser>
        <c:ser>
          <c:idx val="6"/>
          <c:order val="5"/>
          <c:tx>
            <c:strRef>
              <c:f>Deployment!$B$8</c:f>
              <c:strCache>
                <c:ptCount val="1"/>
                <c:pt idx="0">
                  <c:v>Training costs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strRef>
          </c:cat>
          <c:val>
            <c:numRef>
              <c:f>Deployment!$C$8:$H$8</c:f>
              <c:numCache/>
            </c:numRef>
          </c:val>
        </c:ser>
        <c:ser>
          <c:idx val="7"/>
          <c:order val="6"/>
          <c:tx>
            <c:strRef>
              <c:f>Deployment!$B$9</c:f>
              <c:strCache>
                <c:ptCount val="1"/>
                <c:pt idx="0">
                  <c:v>Application porting and replacement costs</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Deployment!$C$2:$H$2</c:f>
              <c:strCache/>
            </c:strRef>
          </c:cat>
          <c:val>
            <c:numRef>
              <c:f>Deployment!$C$9:$H$9</c:f>
              <c:numCache/>
            </c:numRef>
          </c:val>
        </c:ser>
        <c:overlap val="100"/>
        <c:axId val="57625549"/>
        <c:axId val="48867894"/>
      </c:barChart>
      <c:catAx>
        <c:axId val="5762554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Calibri"/>
                <a:ea typeface="Calibri"/>
                <a:cs typeface="Calibri"/>
              </a:defRPr>
            </a:pPr>
          </a:p>
        </c:txPr>
        <c:crossAx val="48867894"/>
        <c:crosses val="autoZero"/>
        <c:auto val="1"/>
        <c:lblOffset val="100"/>
        <c:tickLblSkip val="1"/>
        <c:noMultiLvlLbl val="0"/>
      </c:catAx>
      <c:valAx>
        <c:axId val="488678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625549"/>
        <c:crossesAt val="1"/>
        <c:crossBetween val="between"/>
        <c:dispUnits/>
      </c:valAx>
      <c:spPr>
        <a:solidFill>
          <a:srgbClr val="FFFFFF"/>
        </a:solidFill>
        <a:ln w="3175">
          <a:noFill/>
        </a:ln>
      </c:spPr>
    </c:plotArea>
    <c:legend>
      <c:legendPos val="r"/>
      <c:layout>
        <c:manualLayout>
          <c:xMode val="edge"/>
          <c:yMode val="edge"/>
          <c:x val="0.68825"/>
          <c:y val="0.23225"/>
          <c:w val="0.304"/>
          <c:h val="0.6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Data center costs
</a:t>
            </a:r>
            <a:r>
              <a:rPr lang="en-US" cap="none" sz="1400" b="1" i="0" u="none" baseline="0">
                <a:solidFill>
                  <a:srgbClr val="000000"/>
                </a:solidFill>
                <a:latin typeface="Calibri"/>
                <a:ea typeface="Calibri"/>
                <a:cs typeface="Calibri"/>
              </a:rPr>
              <a:t>Over entire upgrade cycle</a:t>
            </a:r>
          </a:p>
        </c:rich>
      </c:tx>
      <c:layout/>
      <c:spPr>
        <a:noFill/>
        <a:ln w="3175">
          <a:noFill/>
        </a:ln>
      </c:spPr>
    </c:title>
    <c:plotArea>
      <c:layout>
        <c:manualLayout>
          <c:xMode val="edge"/>
          <c:yMode val="edge"/>
          <c:x val="0.017"/>
          <c:y val="0.1555"/>
          <c:w val="0.645"/>
          <c:h val="0.822"/>
        </c:manualLayout>
      </c:layout>
      <c:barChart>
        <c:barDir val="col"/>
        <c:grouping val="stacked"/>
        <c:varyColors val="0"/>
        <c:ser>
          <c:idx val="3"/>
          <c:order val="0"/>
          <c:tx>
            <c:strRef>
              <c:f>'Data center costs'!$B$25</c:f>
              <c:strCache>
                <c:ptCount val="1"/>
                <c:pt idx="0">
                  <c:v>Cost of server and Blade PC power</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center costs'!$C$2:$H$2</c:f>
              <c:strCache/>
            </c:strRef>
          </c:cat>
          <c:val>
            <c:numRef>
              <c:f>'Data center costs'!$C$25:$H$25</c:f>
              <c:numCache/>
            </c:numRef>
          </c:val>
        </c:ser>
        <c:ser>
          <c:idx val="2"/>
          <c:order val="1"/>
          <c:tx>
            <c:strRef>
              <c:f>'Data center costs'!$B$24</c:f>
              <c:strCache>
                <c:ptCount val="1"/>
                <c:pt idx="0">
                  <c:v>Wiring costs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center costs'!$C$2:$H$2</c:f>
              <c:strCache/>
            </c:strRef>
          </c:cat>
          <c:val>
            <c:numRef>
              <c:f>'Data center costs'!$C$24:$H$24</c:f>
              <c:numCache/>
            </c:numRef>
          </c:val>
        </c:ser>
        <c:ser>
          <c:idx val="1"/>
          <c:order val="2"/>
          <c:tx>
            <c:strRef>
              <c:f>'Data center costs'!$B$23</c:f>
              <c:strCache>
                <c:ptCount val="1"/>
                <c:pt idx="0">
                  <c:v>Port costs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center costs'!$C$2:$H$2</c:f>
              <c:strCache/>
            </c:strRef>
          </c:cat>
          <c:val>
            <c:numRef>
              <c:f>'Data center costs'!$C$23:$H$23</c:f>
              <c:numCache/>
            </c:numRef>
          </c:val>
        </c:ser>
        <c:ser>
          <c:idx val="0"/>
          <c:order val="3"/>
          <c:tx>
            <c:strRef>
              <c:f>'Data center costs'!$B$22</c:f>
              <c:strCache>
                <c:ptCount val="1"/>
                <c:pt idx="0">
                  <c:v>Construction costs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center costs'!$C$2:$H$2</c:f>
              <c:strCache/>
            </c:strRef>
          </c:cat>
          <c:val>
            <c:numRef>
              <c:f>'Data center costs'!$C$22:$H$22</c:f>
              <c:numCache/>
            </c:numRef>
          </c:val>
        </c:ser>
        <c:overlap val="100"/>
        <c:axId val="37157863"/>
        <c:axId val="65985312"/>
      </c:barChart>
      <c:catAx>
        <c:axId val="371578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5985312"/>
        <c:crosses val="autoZero"/>
        <c:auto val="1"/>
        <c:lblOffset val="100"/>
        <c:tickLblSkip val="1"/>
        <c:noMultiLvlLbl val="0"/>
      </c:catAx>
      <c:valAx>
        <c:axId val="659853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57863"/>
        <c:crossesAt val="1"/>
        <c:crossBetween val="between"/>
        <c:dispUnits/>
      </c:valAx>
      <c:spPr>
        <a:solidFill>
          <a:srgbClr val="FFFFFF"/>
        </a:solidFill>
        <a:ln w="3175">
          <a:noFill/>
        </a:ln>
      </c:spPr>
    </c:plotArea>
    <c:legend>
      <c:legendPos val="r"/>
      <c:layout>
        <c:manualLayout>
          <c:xMode val="edge"/>
          <c:yMode val="edge"/>
          <c:x val="0.6875"/>
          <c:y val="0.3965"/>
          <c:w val="0.30375"/>
          <c:h val="0.3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0</xdr:row>
      <xdr:rowOff>609600</xdr:rowOff>
    </xdr:from>
    <xdr:to>
      <xdr:col>2</xdr:col>
      <xdr:colOff>1047750</xdr:colOff>
      <xdr:row>0</xdr:row>
      <xdr:rowOff>1323975</xdr:rowOff>
    </xdr:to>
    <xdr:sp>
      <xdr:nvSpPr>
        <xdr:cNvPr id="1" name="Text Box 28"/>
        <xdr:cNvSpPr txBox="1">
          <a:spLocks noChangeArrowheads="1"/>
        </xdr:cNvSpPr>
      </xdr:nvSpPr>
      <xdr:spPr>
        <a:xfrm>
          <a:off x="1362075" y="609600"/>
          <a:ext cx="3552825" cy="714375"/>
        </a:xfrm>
        <a:prstGeom prst="rect">
          <a:avLst/>
        </a:prstGeom>
        <a:solidFill>
          <a:srgbClr val="FFFFFF"/>
        </a:solidFill>
        <a:ln w="9525" cmpd="sng">
          <a:noFill/>
        </a:ln>
      </xdr:spPr>
      <xdr:txBody>
        <a:bodyPr vertOverflow="clip" wrap="square" lIns="36576" tIns="32004" rIns="0" bIns="0"/>
        <a:p>
          <a:pPr algn="l">
            <a:defRPr/>
          </a:pPr>
          <a:r>
            <a:rPr lang="en-US" cap="none" sz="1600" b="0" i="0" u="none" baseline="0">
              <a:solidFill>
                <a:srgbClr val="000000"/>
              </a:solidFill>
              <a:latin typeface="Arial"/>
              <a:ea typeface="Arial"/>
              <a:cs typeface="Arial"/>
            </a:rPr>
            <a:t>Principled Technologies</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TCO calculator</a:t>
          </a:r>
          <a:r>
            <a:rPr lang="en-US" cap="none" sz="1200" b="1" i="0" u="none" baseline="0">
              <a:solidFill>
                <a:srgbClr val="000000"/>
              </a:solidFill>
              <a:latin typeface="Arial"/>
              <a:ea typeface="Arial"/>
              <a:cs typeface="Arial"/>
            </a:rPr>
            <a:t> - TCO summary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twoCellAnchor>
    <xdr:from>
      <xdr:col>1</xdr:col>
      <xdr:colOff>142875</xdr:colOff>
      <xdr:row>0</xdr:row>
      <xdr:rowOff>85725</xdr:rowOff>
    </xdr:from>
    <xdr:to>
      <xdr:col>1</xdr:col>
      <xdr:colOff>1066800</xdr:colOff>
      <xdr:row>0</xdr:row>
      <xdr:rowOff>1104900</xdr:rowOff>
    </xdr:to>
    <xdr:pic>
      <xdr:nvPicPr>
        <xdr:cNvPr id="2" name="Picture 214" descr="PT Logo"/>
        <xdr:cNvPicPr preferRelativeResize="1">
          <a:picLocks noChangeAspect="1"/>
        </xdr:cNvPicPr>
      </xdr:nvPicPr>
      <xdr:blipFill>
        <a:blip r:embed="rId1"/>
        <a:stretch>
          <a:fillRect/>
        </a:stretch>
      </xdr:blipFill>
      <xdr:spPr>
        <a:xfrm>
          <a:off x="390525" y="85725"/>
          <a:ext cx="923925" cy="1019175"/>
        </a:xfrm>
        <a:prstGeom prst="rect">
          <a:avLst/>
        </a:prstGeom>
        <a:noFill/>
        <a:ln w="9525" cmpd="sng">
          <a:noFill/>
        </a:ln>
      </xdr:spPr>
    </xdr:pic>
    <xdr:clientData/>
  </xdr:twoCellAnchor>
  <xdr:oneCellAnchor>
    <xdr:from>
      <xdr:col>2</xdr:col>
      <xdr:colOff>1038225</xdr:colOff>
      <xdr:row>0</xdr:row>
      <xdr:rowOff>47625</xdr:rowOff>
    </xdr:from>
    <xdr:ext cx="5238750" cy="1619250"/>
    <xdr:sp>
      <xdr:nvSpPr>
        <xdr:cNvPr id="3" name="TextBox 4"/>
        <xdr:cNvSpPr txBox="1">
          <a:spLocks noChangeArrowheads="1"/>
        </xdr:cNvSpPr>
      </xdr:nvSpPr>
      <xdr:spPr>
        <a:xfrm>
          <a:off x="4905375" y="47625"/>
          <a:ext cx="5238750" cy="1619250"/>
        </a:xfrm>
        <a:prstGeom prst="rect">
          <a:avLst/>
        </a:prstGeom>
        <a:solidFill>
          <a:srgbClr val="FFFFFF"/>
        </a:solid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Instructions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To get ballpark estimates for the TCO of a particular platform for your company, adjust the values in the gray fields on this tab to reflect your company’s conversion plans.  
</a:t>
          </a:r>
          <a:r>
            <a:rPr lang="en-US" cap="none" sz="900" b="0" i="0" u="none" baseline="0">
              <a:solidFill>
                <a:srgbClr val="000000"/>
              </a:solidFill>
              <a:latin typeface="Calibri"/>
              <a:ea typeface="Calibri"/>
              <a:cs typeface="Calibri"/>
            </a:rPr>
            <a:t>To adjust particular details, such as power parameters, adjust the values in the gray fields in the appropriate section of the Assumptions worksheet. 
</a:t>
          </a:r>
          <a:r>
            <a:rPr lang="en-US" cap="none" sz="900" b="0" i="0" u="none" baseline="0">
              <a:solidFill>
                <a:srgbClr val="000000"/>
              </a:solidFill>
              <a:latin typeface="Calibri"/>
              <a:ea typeface="Calibri"/>
              <a:cs typeface="Calibri"/>
            </a:rPr>
            <a:t>We’ve protected each sheet in the calculator and locked all but the gray, editable fields. If you want to remove that protection, select  Tools/Protection/Unprotect sheet from the Excel menu. 
</a:t>
          </a:r>
          <a:r>
            <a:rPr lang="en-US" cap="none" sz="900" b="0" i="0" u="none" baseline="0">
              <a:solidFill>
                <a:srgbClr val="000000"/>
              </a:solidFill>
              <a:latin typeface="Calibri"/>
              <a:ea typeface="Calibri"/>
              <a:cs typeface="Calibri"/>
            </a:rPr>
            <a:t>We have based the initial information in this calculator on a conversion of 10,000 clients at a single location. For more information on specific assumptions, see the Assumptions worksheet.</a:t>
          </a:r>
        </a:p>
      </xdr:txBody>
    </xdr:sp>
    <xdr:clientData/>
  </xdr:oneCellAnchor>
  <xdr:twoCellAnchor>
    <xdr:from>
      <xdr:col>2</xdr:col>
      <xdr:colOff>47625</xdr:colOff>
      <xdr:row>22</xdr:row>
      <xdr:rowOff>38100</xdr:rowOff>
    </xdr:from>
    <xdr:to>
      <xdr:col>2</xdr:col>
      <xdr:colOff>1009650</xdr:colOff>
      <xdr:row>22</xdr:row>
      <xdr:rowOff>457200</xdr:rowOff>
    </xdr:to>
    <xdr:sp macro="[0]!RestoreTCODefaults">
      <xdr:nvSpPr>
        <xdr:cNvPr id="4" name="Bevel 5" descr="Copies default values to the cells below."/>
        <xdr:cNvSpPr>
          <a:spLocks/>
        </xdr:cNvSpPr>
      </xdr:nvSpPr>
      <xdr:spPr>
        <a:xfrm>
          <a:off x="3914775" y="6496050"/>
          <a:ext cx="962025" cy="419100"/>
        </a:xfrm>
        <a:prstGeom prst="bevel">
          <a:avLst/>
        </a:prstGeom>
        <a:solidFill>
          <a:srgbClr val="17375E"/>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latin typeface="Calibri"/>
              <a:ea typeface="Calibri"/>
              <a:cs typeface="Calibri"/>
            </a:rPr>
            <a:t>Restore defaults</a:t>
          </a:r>
        </a:p>
      </xdr:txBody>
    </xdr:sp>
    <xdr:clientData/>
  </xdr:twoCellAnchor>
  <xdr:oneCellAnchor>
    <xdr:from>
      <xdr:col>1</xdr:col>
      <xdr:colOff>9525</xdr:colOff>
      <xdr:row>42</xdr:row>
      <xdr:rowOff>142875</xdr:rowOff>
    </xdr:from>
    <xdr:ext cx="10163175" cy="971550"/>
    <xdr:sp>
      <xdr:nvSpPr>
        <xdr:cNvPr id="5" name="TextBox 6"/>
        <xdr:cNvSpPr txBox="1">
          <a:spLocks noChangeArrowheads="1"/>
        </xdr:cNvSpPr>
      </xdr:nvSpPr>
      <xdr:spPr>
        <a:xfrm>
          <a:off x="257175" y="11487150"/>
          <a:ext cx="10163175" cy="971550"/>
        </a:xfrm>
        <a:prstGeom prst="rect">
          <a:avLst/>
        </a:prstGeom>
        <a:noFill/>
        <a:ln w="9525" cmpd="sng">
          <a:noFill/>
        </a:ln>
      </xdr:spPr>
      <xdr:txBody>
        <a:bodyPr vertOverflow="clip" wrap="square" lIns="91440" tIns="45720" rIns="91440" bIns="45720"/>
        <a:p>
          <a:pPr algn="l">
            <a:defRPr/>
          </a:pPr>
          <a:r>
            <a:rPr lang="en-US" cap="none" sz="800" b="0" i="0" u="none" baseline="0">
              <a:solidFill>
                <a:srgbClr val="000000"/>
              </a:solidFill>
              <a:latin typeface="Calibri"/>
              <a:ea typeface="Calibri"/>
              <a:cs typeface="Calibri"/>
            </a:rPr>
            <a:t>*We used our lab test results to estimate the number of clients per access infrastructure server for all platforms except Virtual hosted desktop. For more information, see supporting documents. 
</a:t>
          </a:r>
          <a:r>
            <a:rPr lang="en-US" cap="none" sz="800" b="0" i="0" u="none" baseline="0">
              <a:solidFill>
                <a:srgbClr val="000000"/>
              </a:solidFill>
              <a:latin typeface="Calibri"/>
              <a:ea typeface="Calibri"/>
              <a:cs typeface="Calibri"/>
            </a:rPr>
            <a:t>** To get our clients per access infrastructure server estimate for the Virtual hosted desktop platform, we averaged the values from VMware Infrastructure 3 VDI Server Sizing and Scaling (</a:t>
          </a:r>
          <a:r>
            <a:rPr lang="en-US" cap="none" sz="800" b="0" i="0" u="sng" baseline="0">
              <a:solidFill>
                <a:srgbClr val="000000"/>
              </a:solidFill>
              <a:latin typeface="Calibri"/>
              <a:ea typeface="Calibri"/>
              <a:cs typeface="Calibri"/>
            </a:rPr>
            <a:t>http://www.vmware.com/pdf/vdi_sizing_vi3.pdf</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We used our lab test results to estimate productive minutes lost due to server congestion per day for all platforms except Virtual hosted desktop. For more information, see supporting documents. 
</a:t>
          </a:r>
          <a:r>
            <a:rPr lang="en-US" cap="none" sz="800" b="0" i="0" u="none" baseline="0">
              <a:solidFill>
                <a:srgbClr val="000000"/>
              </a:solidFill>
              <a:latin typeface="Calibri"/>
              <a:ea typeface="Calibri"/>
              <a:cs typeface="Calibri"/>
            </a:rPr>
            <a:t>****We estimated the lost productivity of the Virtual hosted desktop platform to be between 2 and 5 minutes, so we used 3.5 minutes for our calculations. Enter exact values for that platform based on your own testing and research.
</a:t>
          </a:r>
          <a:r>
            <a:rPr lang="en-US" cap="none" sz="800" b="0" i="0" u="none" baseline="0">
              <a:solidFill>
                <a:srgbClr val="000000"/>
              </a:solidFill>
              <a:latin typeface="Calibri"/>
              <a:ea typeface="Calibri"/>
              <a:cs typeface="Calibri"/>
            </a:rPr>
            <a:t>*****We assume the cost and performance of common application or resource servers, such as those providing file, email, database, network services (DNS, Active Directory), and Web services will be the same across all platforms. Therefore they</a:t>
          </a:r>
          <a:r>
            <a:rPr lang="en-US" cap="none" sz="800" b="0" i="0" u="none" baseline="0">
              <a:solidFill>
                <a:srgbClr val="000000"/>
              </a:solidFill>
              <a:latin typeface="Calibri"/>
              <a:ea typeface="Calibri"/>
              <a:cs typeface="Calibri"/>
            </a:rPr>
            <a:t> are not included in this analysis.</a:t>
          </a:r>
          <a:r>
            <a:rPr lang="en-US" cap="none" sz="800" b="0" i="0" u="none" baseline="0">
              <a:solidFill>
                <a:srgbClr val="000000"/>
              </a:solidFill>
              <a:latin typeface="Calibri"/>
              <a:ea typeface="Calibri"/>
              <a:cs typeface="Calibri"/>
            </a:rPr>
            <a:t>
</a:t>
          </a:r>
        </a:p>
      </xdr:txBody>
    </xdr:sp>
    <xdr:clientData/>
  </xdr:oneCellAnchor>
  <xdr:twoCellAnchor>
    <xdr:from>
      <xdr:col>1</xdr:col>
      <xdr:colOff>76200</xdr:colOff>
      <xdr:row>47</xdr:row>
      <xdr:rowOff>152400</xdr:rowOff>
    </xdr:from>
    <xdr:to>
      <xdr:col>3</xdr:col>
      <xdr:colOff>400050</xdr:colOff>
      <xdr:row>70</xdr:row>
      <xdr:rowOff>47625</xdr:rowOff>
    </xdr:to>
    <xdr:graphicFrame>
      <xdr:nvGraphicFramePr>
        <xdr:cNvPr id="6" name="Chart 9"/>
        <xdr:cNvGraphicFramePr/>
      </xdr:nvGraphicFramePr>
      <xdr:xfrm>
        <a:off x="323850" y="12420600"/>
        <a:ext cx="4991100" cy="4276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71</xdr:row>
      <xdr:rowOff>66675</xdr:rowOff>
    </xdr:from>
    <xdr:to>
      <xdr:col>3</xdr:col>
      <xdr:colOff>409575</xdr:colOff>
      <xdr:row>93</xdr:row>
      <xdr:rowOff>85725</xdr:rowOff>
    </xdr:to>
    <xdr:graphicFrame>
      <xdr:nvGraphicFramePr>
        <xdr:cNvPr id="7" name="Chart 12"/>
        <xdr:cNvGraphicFramePr/>
      </xdr:nvGraphicFramePr>
      <xdr:xfrm>
        <a:off x="333375" y="16906875"/>
        <a:ext cx="4991100" cy="4210050"/>
      </xdr:xfrm>
      <a:graphic>
        <a:graphicData uri="http://schemas.openxmlformats.org/drawingml/2006/chart">
          <c:chart xmlns:c="http://schemas.openxmlformats.org/drawingml/2006/chart" r:id="rId3"/>
        </a:graphicData>
      </a:graphic>
    </xdr:graphicFrame>
    <xdr:clientData/>
  </xdr:twoCellAnchor>
  <xdr:twoCellAnchor>
    <xdr:from>
      <xdr:col>1</xdr:col>
      <xdr:colOff>104775</xdr:colOff>
      <xdr:row>95</xdr:row>
      <xdr:rowOff>66675</xdr:rowOff>
    </xdr:from>
    <xdr:to>
      <xdr:col>3</xdr:col>
      <xdr:colOff>428625</xdr:colOff>
      <xdr:row>115</xdr:row>
      <xdr:rowOff>171450</xdr:rowOff>
    </xdr:to>
    <xdr:graphicFrame>
      <xdr:nvGraphicFramePr>
        <xdr:cNvPr id="8" name="Chart 13"/>
        <xdr:cNvGraphicFramePr/>
      </xdr:nvGraphicFramePr>
      <xdr:xfrm>
        <a:off x="352425" y="21478875"/>
        <a:ext cx="4991100" cy="3914775"/>
      </xdr:xfrm>
      <a:graphic>
        <a:graphicData uri="http://schemas.openxmlformats.org/drawingml/2006/chart">
          <c:chart xmlns:c="http://schemas.openxmlformats.org/drawingml/2006/chart" r:id="rId4"/>
        </a:graphicData>
      </a:graphic>
    </xdr:graphicFrame>
    <xdr:clientData/>
  </xdr:twoCellAnchor>
  <xdr:twoCellAnchor>
    <xdr:from>
      <xdr:col>3</xdr:col>
      <xdr:colOff>666750</xdr:colOff>
      <xdr:row>47</xdr:row>
      <xdr:rowOff>142875</xdr:rowOff>
    </xdr:from>
    <xdr:to>
      <xdr:col>8</xdr:col>
      <xdr:colOff>133350</xdr:colOff>
      <xdr:row>70</xdr:row>
      <xdr:rowOff>38100</xdr:rowOff>
    </xdr:to>
    <xdr:graphicFrame>
      <xdr:nvGraphicFramePr>
        <xdr:cNvPr id="9" name="Chart 9"/>
        <xdr:cNvGraphicFramePr/>
      </xdr:nvGraphicFramePr>
      <xdr:xfrm>
        <a:off x="5581650" y="12411075"/>
        <a:ext cx="4705350" cy="4276725"/>
      </xdr:xfrm>
      <a:graphic>
        <a:graphicData uri="http://schemas.openxmlformats.org/drawingml/2006/chart">
          <c:chart xmlns:c="http://schemas.openxmlformats.org/drawingml/2006/chart" r:id="rId5"/>
        </a:graphicData>
      </a:graphic>
    </xdr:graphicFrame>
    <xdr:clientData/>
  </xdr:twoCellAnchor>
  <xdr:twoCellAnchor>
    <xdr:from>
      <xdr:col>3</xdr:col>
      <xdr:colOff>676275</xdr:colOff>
      <xdr:row>71</xdr:row>
      <xdr:rowOff>76200</xdr:rowOff>
    </xdr:from>
    <xdr:to>
      <xdr:col>8</xdr:col>
      <xdr:colOff>161925</xdr:colOff>
      <xdr:row>93</xdr:row>
      <xdr:rowOff>76200</xdr:rowOff>
    </xdr:to>
    <xdr:graphicFrame>
      <xdr:nvGraphicFramePr>
        <xdr:cNvPr id="10" name="Chart 10"/>
        <xdr:cNvGraphicFramePr/>
      </xdr:nvGraphicFramePr>
      <xdr:xfrm>
        <a:off x="5591175" y="16916400"/>
        <a:ext cx="4724400" cy="4191000"/>
      </xdr:xfrm>
      <a:graphic>
        <a:graphicData uri="http://schemas.openxmlformats.org/drawingml/2006/chart">
          <c:chart xmlns:c="http://schemas.openxmlformats.org/drawingml/2006/chart" r:id="rId6"/>
        </a:graphicData>
      </a:graphic>
    </xdr:graphicFrame>
    <xdr:clientData/>
  </xdr:twoCellAnchor>
  <xdr:twoCellAnchor>
    <xdr:from>
      <xdr:col>3</xdr:col>
      <xdr:colOff>685800</xdr:colOff>
      <xdr:row>95</xdr:row>
      <xdr:rowOff>57150</xdr:rowOff>
    </xdr:from>
    <xdr:to>
      <xdr:col>8</xdr:col>
      <xdr:colOff>161925</xdr:colOff>
      <xdr:row>115</xdr:row>
      <xdr:rowOff>152400</xdr:rowOff>
    </xdr:to>
    <xdr:graphicFrame>
      <xdr:nvGraphicFramePr>
        <xdr:cNvPr id="11" name="Chart 11"/>
        <xdr:cNvGraphicFramePr/>
      </xdr:nvGraphicFramePr>
      <xdr:xfrm>
        <a:off x="5600700" y="21469350"/>
        <a:ext cx="4714875" cy="390525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0</xdr:row>
      <xdr:rowOff>609600</xdr:rowOff>
    </xdr:from>
    <xdr:to>
      <xdr:col>2</xdr:col>
      <xdr:colOff>914400</xdr:colOff>
      <xdr:row>0</xdr:row>
      <xdr:rowOff>1114425</xdr:rowOff>
    </xdr:to>
    <xdr:sp>
      <xdr:nvSpPr>
        <xdr:cNvPr id="1" name="Text Box 216"/>
        <xdr:cNvSpPr txBox="1">
          <a:spLocks noChangeArrowheads="1"/>
        </xdr:cNvSpPr>
      </xdr:nvSpPr>
      <xdr:spPr>
        <a:xfrm>
          <a:off x="1333500" y="609600"/>
          <a:ext cx="3581400" cy="504825"/>
        </a:xfrm>
        <a:prstGeom prst="rect">
          <a:avLst/>
        </a:prstGeom>
        <a:solidFill>
          <a:srgbClr val="FFFFFF"/>
        </a:solidFill>
        <a:ln w="9525" cmpd="sng">
          <a:noFill/>
        </a:ln>
      </xdr:spPr>
      <xdr:txBody>
        <a:bodyPr vertOverflow="clip" wrap="square" lIns="36576" tIns="32004" rIns="0" bIns="0"/>
        <a:p>
          <a:pPr algn="l">
            <a:defRPr/>
          </a:pPr>
          <a:r>
            <a:rPr lang="en-US" cap="none" sz="1600" b="0" i="0" u="none" baseline="0">
              <a:solidFill>
                <a:srgbClr val="000000"/>
              </a:solidFill>
              <a:latin typeface="Arial"/>
              <a:ea typeface="Arial"/>
              <a:cs typeface="Arial"/>
            </a:rPr>
            <a:t>Principled Technologies</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TCO calculator - power costs
</a:t>
          </a:r>
          <a:r>
            <a:rPr lang="en-US" cap="none" sz="1200" b="1" i="0" u="none" baseline="0">
              <a:solidFill>
                <a:srgbClr val="000000"/>
              </a:solidFill>
              <a:latin typeface="Arial"/>
              <a:ea typeface="Arial"/>
              <a:cs typeface="Arial"/>
            </a:rPr>
            <a:t>
</a:t>
          </a:r>
        </a:p>
      </xdr:txBody>
    </xdr:sp>
    <xdr:clientData/>
  </xdr:twoCellAnchor>
  <xdr:twoCellAnchor>
    <xdr:from>
      <xdr:col>1</xdr:col>
      <xdr:colOff>133350</xdr:colOff>
      <xdr:row>0</xdr:row>
      <xdr:rowOff>47625</xdr:rowOff>
    </xdr:from>
    <xdr:to>
      <xdr:col>1</xdr:col>
      <xdr:colOff>1057275</xdr:colOff>
      <xdr:row>0</xdr:row>
      <xdr:rowOff>1104900</xdr:rowOff>
    </xdr:to>
    <xdr:pic>
      <xdr:nvPicPr>
        <xdr:cNvPr id="2" name="Picture 214" descr="PT Logo"/>
        <xdr:cNvPicPr preferRelativeResize="1">
          <a:picLocks noChangeAspect="1"/>
        </xdr:cNvPicPr>
      </xdr:nvPicPr>
      <xdr:blipFill>
        <a:blip r:embed="rId1"/>
        <a:stretch>
          <a:fillRect/>
        </a:stretch>
      </xdr:blipFill>
      <xdr:spPr>
        <a:xfrm>
          <a:off x="381000" y="47625"/>
          <a:ext cx="923925" cy="1057275"/>
        </a:xfrm>
        <a:prstGeom prst="rect">
          <a:avLst/>
        </a:prstGeom>
        <a:noFill/>
        <a:ln w="9525" cmpd="sng">
          <a:noFill/>
        </a:ln>
      </xdr:spPr>
    </xdr:pic>
    <xdr:clientData/>
  </xdr:twoCellAnchor>
  <xdr:twoCellAnchor>
    <xdr:from>
      <xdr:col>0</xdr:col>
      <xdr:colOff>238125</xdr:colOff>
      <xdr:row>57</xdr:row>
      <xdr:rowOff>66675</xdr:rowOff>
    </xdr:from>
    <xdr:to>
      <xdr:col>3</xdr:col>
      <xdr:colOff>314325</xdr:colOff>
      <xdr:row>77</xdr:row>
      <xdr:rowOff>85725</xdr:rowOff>
    </xdr:to>
    <xdr:graphicFrame>
      <xdr:nvGraphicFramePr>
        <xdr:cNvPr id="3" name="Chart 3"/>
        <xdr:cNvGraphicFramePr/>
      </xdr:nvGraphicFramePr>
      <xdr:xfrm>
        <a:off x="238125" y="12658725"/>
        <a:ext cx="4991100" cy="38290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0</xdr:row>
      <xdr:rowOff>447675</xdr:rowOff>
    </xdr:from>
    <xdr:to>
      <xdr:col>2</xdr:col>
      <xdr:colOff>1047750</xdr:colOff>
      <xdr:row>0</xdr:row>
      <xdr:rowOff>1152525</xdr:rowOff>
    </xdr:to>
    <xdr:sp>
      <xdr:nvSpPr>
        <xdr:cNvPr id="1" name="Text Box 216"/>
        <xdr:cNvSpPr txBox="1">
          <a:spLocks noChangeArrowheads="1"/>
        </xdr:cNvSpPr>
      </xdr:nvSpPr>
      <xdr:spPr>
        <a:xfrm>
          <a:off x="1323975" y="447675"/>
          <a:ext cx="3562350" cy="704850"/>
        </a:xfrm>
        <a:prstGeom prst="rect">
          <a:avLst/>
        </a:prstGeom>
        <a:solidFill>
          <a:srgbClr val="FFFFFF"/>
        </a:solidFill>
        <a:ln w="9525" cmpd="sng">
          <a:noFill/>
        </a:ln>
      </xdr:spPr>
      <xdr:txBody>
        <a:bodyPr vertOverflow="clip" wrap="square" lIns="36576" tIns="32004" rIns="0" bIns="0"/>
        <a:p>
          <a:pPr algn="l">
            <a:defRPr/>
          </a:pPr>
          <a:r>
            <a:rPr lang="en-US" cap="none" sz="1600" b="0" i="0" u="none" baseline="0">
              <a:solidFill>
                <a:srgbClr val="000000"/>
              </a:solidFill>
              <a:latin typeface="Arial"/>
              <a:ea typeface="Arial"/>
              <a:cs typeface="Arial"/>
            </a:rPr>
            <a:t>Principled Technologies</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TCO calculator</a:t>
          </a:r>
          <a:r>
            <a:rPr lang="en-US" cap="none" sz="1200" b="1" i="0" u="none" baseline="0">
              <a:solidFill>
                <a:srgbClr val="000000"/>
              </a:solidFill>
              <a:latin typeface="Arial"/>
              <a:ea typeface="Arial"/>
              <a:cs typeface="Arial"/>
            </a:rPr>
            <a:t> - </a:t>
          </a:r>
          <a:r>
            <a:rPr lang="en-US" cap="none" sz="1200" b="1" i="0" u="none" baseline="0">
              <a:solidFill>
                <a:srgbClr val="000000"/>
              </a:solidFill>
              <a:latin typeface="Arial"/>
              <a:ea typeface="Arial"/>
              <a:cs typeface="Arial"/>
            </a:rPr>
            <a:t>One-time deployment costs
</a:t>
          </a:r>
          <a:r>
            <a:rPr lang="en-US" cap="none" sz="1200" b="1" i="0" u="none" baseline="0">
              <a:solidFill>
                <a:srgbClr val="000000"/>
              </a:solidFill>
              <a:latin typeface="Arial"/>
              <a:ea typeface="Arial"/>
              <a:cs typeface="Arial"/>
            </a:rPr>
            <a:t>
</a:t>
          </a:r>
        </a:p>
      </xdr:txBody>
    </xdr:sp>
    <xdr:clientData/>
  </xdr:twoCellAnchor>
  <xdr:twoCellAnchor>
    <xdr:from>
      <xdr:col>1</xdr:col>
      <xdr:colOff>133350</xdr:colOff>
      <xdr:row>0</xdr:row>
      <xdr:rowOff>85725</xdr:rowOff>
    </xdr:from>
    <xdr:to>
      <xdr:col>1</xdr:col>
      <xdr:colOff>1057275</xdr:colOff>
      <xdr:row>0</xdr:row>
      <xdr:rowOff>1143000</xdr:rowOff>
    </xdr:to>
    <xdr:pic>
      <xdr:nvPicPr>
        <xdr:cNvPr id="2" name="Picture 214" descr="PT Logo"/>
        <xdr:cNvPicPr preferRelativeResize="1">
          <a:picLocks noChangeAspect="1"/>
        </xdr:cNvPicPr>
      </xdr:nvPicPr>
      <xdr:blipFill>
        <a:blip r:embed="rId1"/>
        <a:stretch>
          <a:fillRect/>
        </a:stretch>
      </xdr:blipFill>
      <xdr:spPr>
        <a:xfrm>
          <a:off x="381000" y="85725"/>
          <a:ext cx="923925" cy="1057275"/>
        </a:xfrm>
        <a:prstGeom prst="rect">
          <a:avLst/>
        </a:prstGeom>
        <a:noFill/>
        <a:ln w="9525" cmpd="sng">
          <a:noFill/>
        </a:ln>
      </xdr:spPr>
    </xdr:pic>
    <xdr:clientData/>
  </xdr:twoCellAnchor>
  <xdr:twoCellAnchor>
    <xdr:from>
      <xdr:col>1</xdr:col>
      <xdr:colOff>28575</xdr:colOff>
      <xdr:row>67</xdr:row>
      <xdr:rowOff>28575</xdr:rowOff>
    </xdr:from>
    <xdr:to>
      <xdr:col>3</xdr:col>
      <xdr:colOff>457200</xdr:colOff>
      <xdr:row>88</xdr:row>
      <xdr:rowOff>9525</xdr:rowOff>
    </xdr:to>
    <xdr:graphicFrame>
      <xdr:nvGraphicFramePr>
        <xdr:cNvPr id="3" name="Chart 3"/>
        <xdr:cNvGraphicFramePr/>
      </xdr:nvGraphicFramePr>
      <xdr:xfrm>
        <a:off x="276225" y="14354175"/>
        <a:ext cx="5067300" cy="39814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0</xdr:row>
      <xdr:rowOff>447675</xdr:rowOff>
    </xdr:from>
    <xdr:to>
      <xdr:col>2</xdr:col>
      <xdr:colOff>1047750</xdr:colOff>
      <xdr:row>0</xdr:row>
      <xdr:rowOff>1152525</xdr:rowOff>
    </xdr:to>
    <xdr:sp>
      <xdr:nvSpPr>
        <xdr:cNvPr id="1" name="Text Box 216"/>
        <xdr:cNvSpPr txBox="1">
          <a:spLocks noChangeArrowheads="1"/>
        </xdr:cNvSpPr>
      </xdr:nvSpPr>
      <xdr:spPr>
        <a:xfrm>
          <a:off x="1323975" y="447675"/>
          <a:ext cx="3467100" cy="704850"/>
        </a:xfrm>
        <a:prstGeom prst="rect">
          <a:avLst/>
        </a:prstGeom>
        <a:solidFill>
          <a:srgbClr val="FFFFFF"/>
        </a:solidFill>
        <a:ln w="9525" cmpd="sng">
          <a:noFill/>
        </a:ln>
      </xdr:spPr>
      <xdr:txBody>
        <a:bodyPr vertOverflow="clip" wrap="square" lIns="36576" tIns="32004" rIns="0" bIns="0"/>
        <a:p>
          <a:pPr algn="l">
            <a:defRPr/>
          </a:pPr>
          <a:r>
            <a:rPr lang="en-US" cap="none" sz="1600" b="0" i="0" u="none" baseline="0">
              <a:solidFill>
                <a:srgbClr val="000000"/>
              </a:solidFill>
              <a:latin typeface="Arial"/>
              <a:ea typeface="Arial"/>
              <a:cs typeface="Arial"/>
            </a:rPr>
            <a:t>Principled Technologies</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TCO calculator</a:t>
          </a:r>
          <a:r>
            <a:rPr lang="en-US" cap="none" sz="1200" b="1" i="0" u="none" baseline="0">
              <a:solidFill>
                <a:srgbClr val="000000"/>
              </a:solidFill>
              <a:latin typeface="Arial"/>
              <a:ea typeface="Arial"/>
              <a:cs typeface="Arial"/>
            </a:rPr>
            <a:t> - </a:t>
          </a:r>
          <a:r>
            <a:rPr lang="en-US" cap="none" sz="1200" b="1" i="0" u="none" baseline="0">
              <a:solidFill>
                <a:srgbClr val="000000"/>
              </a:solidFill>
              <a:latin typeface="Arial"/>
              <a:ea typeface="Arial"/>
              <a:cs typeface="Arial"/>
            </a:rPr>
            <a:t>Data center costs
</a:t>
          </a:r>
          <a:r>
            <a:rPr lang="en-US" cap="none" sz="1200" b="1" i="0" u="none" baseline="0">
              <a:solidFill>
                <a:srgbClr val="000000"/>
              </a:solidFill>
              <a:latin typeface="Arial"/>
              <a:ea typeface="Arial"/>
              <a:cs typeface="Arial"/>
            </a:rPr>
            <a:t>
</a:t>
          </a:r>
        </a:p>
      </xdr:txBody>
    </xdr:sp>
    <xdr:clientData/>
  </xdr:twoCellAnchor>
  <xdr:twoCellAnchor>
    <xdr:from>
      <xdr:col>1</xdr:col>
      <xdr:colOff>133350</xdr:colOff>
      <xdr:row>0</xdr:row>
      <xdr:rowOff>85725</xdr:rowOff>
    </xdr:from>
    <xdr:to>
      <xdr:col>1</xdr:col>
      <xdr:colOff>1057275</xdr:colOff>
      <xdr:row>0</xdr:row>
      <xdr:rowOff>1143000</xdr:rowOff>
    </xdr:to>
    <xdr:pic>
      <xdr:nvPicPr>
        <xdr:cNvPr id="2" name="Picture 214" descr="PT Logo"/>
        <xdr:cNvPicPr preferRelativeResize="1">
          <a:picLocks noChangeAspect="1"/>
        </xdr:cNvPicPr>
      </xdr:nvPicPr>
      <xdr:blipFill>
        <a:blip r:embed="rId1"/>
        <a:stretch>
          <a:fillRect/>
        </a:stretch>
      </xdr:blipFill>
      <xdr:spPr>
        <a:xfrm>
          <a:off x="381000" y="85725"/>
          <a:ext cx="923925" cy="1057275"/>
        </a:xfrm>
        <a:prstGeom prst="rect">
          <a:avLst/>
        </a:prstGeom>
        <a:noFill/>
        <a:ln w="9525" cmpd="sng">
          <a:noFill/>
        </a:ln>
      </xdr:spPr>
    </xdr:pic>
    <xdr:clientData/>
  </xdr:twoCellAnchor>
  <xdr:twoCellAnchor>
    <xdr:from>
      <xdr:col>0</xdr:col>
      <xdr:colOff>247650</xdr:colOff>
      <xdr:row>30</xdr:row>
      <xdr:rowOff>28575</xdr:rowOff>
    </xdr:from>
    <xdr:to>
      <xdr:col>3</xdr:col>
      <xdr:colOff>904875</xdr:colOff>
      <xdr:row>54</xdr:row>
      <xdr:rowOff>57150</xdr:rowOff>
    </xdr:to>
    <xdr:graphicFrame>
      <xdr:nvGraphicFramePr>
        <xdr:cNvPr id="3" name="Chart 5"/>
        <xdr:cNvGraphicFramePr/>
      </xdr:nvGraphicFramePr>
      <xdr:xfrm>
        <a:off x="247650" y="7496175"/>
        <a:ext cx="5448300" cy="46005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0</xdr:row>
      <xdr:rowOff>609600</xdr:rowOff>
    </xdr:from>
    <xdr:to>
      <xdr:col>2</xdr:col>
      <xdr:colOff>723900</xdr:colOff>
      <xdr:row>0</xdr:row>
      <xdr:rowOff>1114425</xdr:rowOff>
    </xdr:to>
    <xdr:sp>
      <xdr:nvSpPr>
        <xdr:cNvPr id="1" name="Text Box 216"/>
        <xdr:cNvSpPr txBox="1">
          <a:spLocks noChangeArrowheads="1"/>
        </xdr:cNvSpPr>
      </xdr:nvSpPr>
      <xdr:spPr>
        <a:xfrm>
          <a:off x="1314450" y="609600"/>
          <a:ext cx="3152775" cy="504825"/>
        </a:xfrm>
        <a:prstGeom prst="rect">
          <a:avLst/>
        </a:prstGeom>
        <a:solidFill>
          <a:srgbClr val="FFFFFF"/>
        </a:solidFill>
        <a:ln w="9525" cmpd="sng">
          <a:noFill/>
        </a:ln>
      </xdr:spPr>
      <xdr:txBody>
        <a:bodyPr vertOverflow="clip" wrap="square" lIns="36576" tIns="32004" rIns="0" bIns="0"/>
        <a:p>
          <a:pPr algn="l">
            <a:defRPr/>
          </a:pPr>
          <a:r>
            <a:rPr lang="en-US" cap="none" sz="1600" b="0" i="0" u="none" baseline="0">
              <a:solidFill>
                <a:srgbClr val="000000"/>
              </a:solidFill>
              <a:latin typeface="Arial"/>
              <a:ea typeface="Arial"/>
              <a:cs typeface="Arial"/>
            </a:rPr>
            <a:t>Principled Technologies</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TCO calculator</a:t>
          </a:r>
          <a:r>
            <a:rPr lang="en-US" cap="none" sz="1200" b="1" i="0" u="none" baseline="0">
              <a:solidFill>
                <a:srgbClr val="000000"/>
              </a:solidFill>
              <a:latin typeface="Arial"/>
              <a:ea typeface="Arial"/>
              <a:cs typeface="Arial"/>
            </a:rPr>
            <a:t> - </a:t>
          </a:r>
          <a:r>
            <a:rPr lang="en-US" cap="none" sz="1200" b="1" i="0" u="none" baseline="0">
              <a:solidFill>
                <a:srgbClr val="000000"/>
              </a:solidFill>
              <a:latin typeface="Arial"/>
              <a:ea typeface="Arial"/>
              <a:cs typeface="Arial"/>
            </a:rPr>
            <a:t>manageability costs
</a:t>
          </a:r>
          <a:r>
            <a:rPr lang="en-US" cap="none" sz="1200" b="1" i="0" u="none" baseline="0">
              <a:solidFill>
                <a:srgbClr val="000000"/>
              </a:solidFill>
              <a:latin typeface="Arial"/>
              <a:ea typeface="Arial"/>
              <a:cs typeface="Arial"/>
            </a:rPr>
            <a:t>
</a:t>
          </a:r>
        </a:p>
      </xdr:txBody>
    </xdr:sp>
    <xdr:clientData/>
  </xdr:twoCellAnchor>
  <xdr:twoCellAnchor>
    <xdr:from>
      <xdr:col>1</xdr:col>
      <xdr:colOff>133350</xdr:colOff>
      <xdr:row>0</xdr:row>
      <xdr:rowOff>47625</xdr:rowOff>
    </xdr:from>
    <xdr:to>
      <xdr:col>1</xdr:col>
      <xdr:colOff>1057275</xdr:colOff>
      <xdr:row>0</xdr:row>
      <xdr:rowOff>1104900</xdr:rowOff>
    </xdr:to>
    <xdr:pic>
      <xdr:nvPicPr>
        <xdr:cNvPr id="2" name="Picture 214" descr="PT Logo"/>
        <xdr:cNvPicPr preferRelativeResize="1">
          <a:picLocks noChangeAspect="1"/>
        </xdr:cNvPicPr>
      </xdr:nvPicPr>
      <xdr:blipFill>
        <a:blip r:embed="rId1"/>
        <a:stretch>
          <a:fillRect/>
        </a:stretch>
      </xdr:blipFill>
      <xdr:spPr>
        <a:xfrm>
          <a:off x="381000" y="47625"/>
          <a:ext cx="923925" cy="1057275"/>
        </a:xfrm>
        <a:prstGeom prst="rect">
          <a:avLst/>
        </a:prstGeom>
        <a:noFill/>
        <a:ln w="9525" cmpd="sng">
          <a:noFill/>
        </a:ln>
      </xdr:spPr>
    </xdr:pic>
    <xdr:clientData/>
  </xdr:twoCellAnchor>
  <xdr:twoCellAnchor>
    <xdr:from>
      <xdr:col>1</xdr:col>
      <xdr:colOff>28575</xdr:colOff>
      <xdr:row>55</xdr:row>
      <xdr:rowOff>0</xdr:rowOff>
    </xdr:from>
    <xdr:to>
      <xdr:col>3</xdr:col>
      <xdr:colOff>314325</xdr:colOff>
      <xdr:row>74</xdr:row>
      <xdr:rowOff>133350</xdr:rowOff>
    </xdr:to>
    <xdr:graphicFrame>
      <xdr:nvGraphicFramePr>
        <xdr:cNvPr id="3" name="Chart 3"/>
        <xdr:cNvGraphicFramePr/>
      </xdr:nvGraphicFramePr>
      <xdr:xfrm>
        <a:off x="276225" y="12030075"/>
        <a:ext cx="4829175" cy="37528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1095375</xdr:colOff>
      <xdr:row>0</xdr:row>
      <xdr:rowOff>581025</xdr:rowOff>
    </xdr:from>
    <xdr:to>
      <xdr:col>2</xdr:col>
      <xdr:colOff>1047750</xdr:colOff>
      <xdr:row>0</xdr:row>
      <xdr:rowOff>1085850</xdr:rowOff>
    </xdr:to>
    <xdr:sp>
      <xdr:nvSpPr>
        <xdr:cNvPr id="1" name="Text Box 216"/>
        <xdr:cNvSpPr txBox="1">
          <a:spLocks noChangeArrowheads="1"/>
        </xdr:cNvSpPr>
      </xdr:nvSpPr>
      <xdr:spPr>
        <a:xfrm>
          <a:off x="1343025" y="581025"/>
          <a:ext cx="3638550" cy="504825"/>
        </a:xfrm>
        <a:prstGeom prst="rect">
          <a:avLst/>
        </a:prstGeom>
        <a:solidFill>
          <a:srgbClr val="FFFFFF"/>
        </a:solidFill>
        <a:ln w="9525" cmpd="sng">
          <a:noFill/>
        </a:ln>
      </xdr:spPr>
      <xdr:txBody>
        <a:bodyPr vertOverflow="clip" wrap="square" lIns="36576" tIns="32004" rIns="0" bIns="0"/>
        <a:p>
          <a:pPr algn="l">
            <a:defRPr/>
          </a:pPr>
          <a:r>
            <a:rPr lang="en-US" cap="none" sz="1600" b="0" i="0" u="none" baseline="0">
              <a:solidFill>
                <a:srgbClr val="000000"/>
              </a:solidFill>
              <a:latin typeface="Arial"/>
              <a:ea typeface="Arial"/>
              <a:cs typeface="Arial"/>
            </a:rPr>
            <a:t>Principled Technologies</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TCO calculator</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productivity costs
</a:t>
          </a:r>
          <a:r>
            <a:rPr lang="en-US" cap="none" sz="1200" b="1" i="0" u="none" baseline="0">
              <a:solidFill>
                <a:srgbClr val="000000"/>
              </a:solidFill>
              <a:latin typeface="Arial"/>
              <a:ea typeface="Arial"/>
              <a:cs typeface="Arial"/>
            </a:rPr>
            <a:t>
</a:t>
          </a:r>
        </a:p>
      </xdr:txBody>
    </xdr:sp>
    <xdr:clientData/>
  </xdr:twoCellAnchor>
  <xdr:twoCellAnchor>
    <xdr:from>
      <xdr:col>1</xdr:col>
      <xdr:colOff>133350</xdr:colOff>
      <xdr:row>0</xdr:row>
      <xdr:rowOff>47625</xdr:rowOff>
    </xdr:from>
    <xdr:to>
      <xdr:col>1</xdr:col>
      <xdr:colOff>1057275</xdr:colOff>
      <xdr:row>0</xdr:row>
      <xdr:rowOff>1104900</xdr:rowOff>
    </xdr:to>
    <xdr:pic>
      <xdr:nvPicPr>
        <xdr:cNvPr id="2" name="Picture 214" descr="PT Logo"/>
        <xdr:cNvPicPr preferRelativeResize="1">
          <a:picLocks noChangeAspect="1"/>
        </xdr:cNvPicPr>
      </xdr:nvPicPr>
      <xdr:blipFill>
        <a:blip r:embed="rId1"/>
        <a:stretch>
          <a:fillRect/>
        </a:stretch>
      </xdr:blipFill>
      <xdr:spPr>
        <a:xfrm>
          <a:off x="381000" y="47625"/>
          <a:ext cx="923925" cy="1057275"/>
        </a:xfrm>
        <a:prstGeom prst="rect">
          <a:avLst/>
        </a:prstGeom>
        <a:noFill/>
        <a:ln w="9525" cmpd="sng">
          <a:noFill/>
        </a:ln>
      </xdr:spPr>
    </xdr:pic>
    <xdr:clientData/>
  </xdr:twoCellAnchor>
  <xdr:twoCellAnchor>
    <xdr:from>
      <xdr:col>0</xdr:col>
      <xdr:colOff>200025</xdr:colOff>
      <xdr:row>18</xdr:row>
      <xdr:rowOff>76200</xdr:rowOff>
    </xdr:from>
    <xdr:to>
      <xdr:col>3</xdr:col>
      <xdr:colOff>219075</xdr:colOff>
      <xdr:row>39</xdr:row>
      <xdr:rowOff>66675</xdr:rowOff>
    </xdr:to>
    <xdr:graphicFrame>
      <xdr:nvGraphicFramePr>
        <xdr:cNvPr id="3" name="Chart 4"/>
        <xdr:cNvGraphicFramePr/>
      </xdr:nvGraphicFramePr>
      <xdr:xfrm>
        <a:off x="200025" y="5667375"/>
        <a:ext cx="5000625" cy="39909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0</xdr:row>
      <xdr:rowOff>628650</xdr:rowOff>
    </xdr:from>
    <xdr:to>
      <xdr:col>2</xdr:col>
      <xdr:colOff>676275</xdr:colOff>
      <xdr:row>0</xdr:row>
      <xdr:rowOff>1114425</xdr:rowOff>
    </xdr:to>
    <xdr:sp>
      <xdr:nvSpPr>
        <xdr:cNvPr id="1" name="Text Box 216"/>
        <xdr:cNvSpPr txBox="1">
          <a:spLocks noChangeArrowheads="1"/>
        </xdr:cNvSpPr>
      </xdr:nvSpPr>
      <xdr:spPr>
        <a:xfrm>
          <a:off x="1543050" y="628650"/>
          <a:ext cx="3124200" cy="485775"/>
        </a:xfrm>
        <a:prstGeom prst="rect">
          <a:avLst/>
        </a:prstGeom>
        <a:solidFill>
          <a:srgbClr val="FFFFFF"/>
        </a:solidFill>
        <a:ln w="9525" cmpd="sng">
          <a:noFill/>
        </a:ln>
      </xdr:spPr>
      <xdr:txBody>
        <a:bodyPr vertOverflow="clip" wrap="square" lIns="36576" tIns="32004" rIns="0" bIns="0"/>
        <a:p>
          <a:pPr algn="l">
            <a:defRPr/>
          </a:pPr>
          <a:r>
            <a:rPr lang="en-US" cap="none" sz="1600" b="0" i="0" u="none" baseline="0">
              <a:solidFill>
                <a:srgbClr val="000000"/>
              </a:solidFill>
              <a:latin typeface="Arial"/>
              <a:ea typeface="Arial"/>
              <a:cs typeface="Arial"/>
            </a:rPr>
            <a:t>Principled Technologies</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TCO</a:t>
          </a:r>
          <a:r>
            <a:rPr lang="en-US" cap="none" sz="1200" b="1" i="0" u="none" baseline="0">
              <a:solidFill>
                <a:srgbClr val="000000"/>
              </a:solidFill>
              <a:latin typeface="Arial"/>
              <a:ea typeface="Arial"/>
              <a:cs typeface="Arial"/>
            </a:rPr>
            <a:t> calculator - assumptions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twoCellAnchor>
    <xdr:from>
      <xdr:col>1</xdr:col>
      <xdr:colOff>314325</xdr:colOff>
      <xdr:row>0</xdr:row>
      <xdr:rowOff>47625</xdr:rowOff>
    </xdr:from>
    <xdr:to>
      <xdr:col>1</xdr:col>
      <xdr:colOff>1238250</xdr:colOff>
      <xdr:row>0</xdr:row>
      <xdr:rowOff>1104900</xdr:rowOff>
    </xdr:to>
    <xdr:pic>
      <xdr:nvPicPr>
        <xdr:cNvPr id="2" name="Picture 214" descr="PT Logo"/>
        <xdr:cNvPicPr preferRelativeResize="1">
          <a:picLocks noChangeAspect="1"/>
        </xdr:cNvPicPr>
      </xdr:nvPicPr>
      <xdr:blipFill>
        <a:blip r:embed="rId1"/>
        <a:stretch>
          <a:fillRect/>
        </a:stretch>
      </xdr:blipFill>
      <xdr:spPr>
        <a:xfrm>
          <a:off x="561975" y="47625"/>
          <a:ext cx="923925" cy="1057275"/>
        </a:xfrm>
        <a:prstGeom prst="rect">
          <a:avLst/>
        </a:prstGeom>
        <a:noFill/>
        <a:ln w="9525" cmpd="sng">
          <a:noFill/>
        </a:ln>
      </xdr:spPr>
    </xdr:pic>
    <xdr:clientData/>
  </xdr:twoCellAnchor>
  <xdr:twoCellAnchor>
    <xdr:from>
      <xdr:col>2</xdr:col>
      <xdr:colOff>47625</xdr:colOff>
      <xdr:row>1</xdr:row>
      <xdr:rowOff>0</xdr:rowOff>
    </xdr:from>
    <xdr:to>
      <xdr:col>2</xdr:col>
      <xdr:colOff>1009650</xdr:colOff>
      <xdr:row>1</xdr:row>
      <xdr:rowOff>504825</xdr:rowOff>
    </xdr:to>
    <xdr:sp macro="[0]!RestoreTPSDefaultAssumptions">
      <xdr:nvSpPr>
        <xdr:cNvPr id="3" name="Bevel 5" descr="Copies default values to the cells below."/>
        <xdr:cNvSpPr>
          <a:spLocks/>
        </xdr:cNvSpPr>
      </xdr:nvSpPr>
      <xdr:spPr>
        <a:xfrm>
          <a:off x="4038600" y="1362075"/>
          <a:ext cx="962025" cy="504825"/>
        </a:xfrm>
        <a:prstGeom prst="bevel">
          <a:avLst/>
        </a:prstGeom>
        <a:solidFill>
          <a:srgbClr val="17375E"/>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latin typeface="Calibri"/>
              <a:ea typeface="Calibri"/>
              <a:cs typeface="Calibri"/>
            </a:rPr>
            <a:t>Restore defaults</a:t>
          </a:r>
        </a:p>
      </xdr:txBody>
    </xdr:sp>
    <xdr:clientData/>
  </xdr:twoCellAnchor>
  <xdr:twoCellAnchor>
    <xdr:from>
      <xdr:col>3</xdr:col>
      <xdr:colOff>47625</xdr:colOff>
      <xdr:row>1</xdr:row>
      <xdr:rowOff>9525</xdr:rowOff>
    </xdr:from>
    <xdr:to>
      <xdr:col>3</xdr:col>
      <xdr:colOff>1009650</xdr:colOff>
      <xdr:row>2</xdr:row>
      <xdr:rowOff>0</xdr:rowOff>
    </xdr:to>
    <xdr:sp macro="[0]!RestoreTMRDefaultAssumptions">
      <xdr:nvSpPr>
        <xdr:cNvPr id="4" name="Bevel 6" descr="Copies default values to the cells below."/>
        <xdr:cNvSpPr>
          <a:spLocks/>
        </xdr:cNvSpPr>
      </xdr:nvSpPr>
      <xdr:spPr>
        <a:xfrm>
          <a:off x="5086350" y="1371600"/>
          <a:ext cx="962025" cy="504825"/>
        </a:xfrm>
        <a:prstGeom prst="bevel">
          <a:avLst/>
        </a:prstGeom>
        <a:solidFill>
          <a:srgbClr val="17375E"/>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latin typeface="Calibri"/>
              <a:ea typeface="Calibri"/>
              <a:cs typeface="Calibri"/>
            </a:rPr>
            <a:t>Restore defaults</a:t>
          </a:r>
        </a:p>
      </xdr:txBody>
    </xdr:sp>
    <xdr:clientData/>
  </xdr:twoCellAnchor>
  <xdr:twoCellAnchor>
    <xdr:from>
      <xdr:col>4</xdr:col>
      <xdr:colOff>47625</xdr:colOff>
      <xdr:row>1</xdr:row>
      <xdr:rowOff>0</xdr:rowOff>
    </xdr:from>
    <xdr:to>
      <xdr:col>4</xdr:col>
      <xdr:colOff>1009650</xdr:colOff>
      <xdr:row>1</xdr:row>
      <xdr:rowOff>504825</xdr:rowOff>
    </xdr:to>
    <xdr:sp macro="[0]!RestoreVHDDefaultAssumptions">
      <xdr:nvSpPr>
        <xdr:cNvPr id="5" name="Bevel 7" descr="Copies default values to the cells below."/>
        <xdr:cNvSpPr>
          <a:spLocks/>
        </xdr:cNvSpPr>
      </xdr:nvSpPr>
      <xdr:spPr>
        <a:xfrm>
          <a:off x="6134100" y="1362075"/>
          <a:ext cx="962025" cy="504825"/>
        </a:xfrm>
        <a:prstGeom prst="bevel">
          <a:avLst/>
        </a:prstGeom>
        <a:solidFill>
          <a:srgbClr val="17375E"/>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latin typeface="Calibri"/>
              <a:ea typeface="Calibri"/>
              <a:cs typeface="Calibri"/>
            </a:rPr>
            <a:t>Restore defaults</a:t>
          </a:r>
        </a:p>
      </xdr:txBody>
    </xdr:sp>
    <xdr:clientData/>
  </xdr:twoCellAnchor>
  <xdr:twoCellAnchor>
    <xdr:from>
      <xdr:col>5</xdr:col>
      <xdr:colOff>47625</xdr:colOff>
      <xdr:row>1</xdr:row>
      <xdr:rowOff>0</xdr:rowOff>
    </xdr:from>
    <xdr:to>
      <xdr:col>5</xdr:col>
      <xdr:colOff>1009650</xdr:colOff>
      <xdr:row>1</xdr:row>
      <xdr:rowOff>504825</xdr:rowOff>
    </xdr:to>
    <xdr:sp macro="[0]!RestoreOSSDefaultAssumptions">
      <xdr:nvSpPr>
        <xdr:cNvPr id="6" name="Bevel 8" descr="Copies default values to the cells below."/>
        <xdr:cNvSpPr>
          <a:spLocks/>
        </xdr:cNvSpPr>
      </xdr:nvSpPr>
      <xdr:spPr>
        <a:xfrm>
          <a:off x="7181850" y="1362075"/>
          <a:ext cx="962025" cy="504825"/>
        </a:xfrm>
        <a:prstGeom prst="bevel">
          <a:avLst/>
        </a:prstGeom>
        <a:solidFill>
          <a:srgbClr val="17375E"/>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latin typeface="Calibri"/>
              <a:ea typeface="Calibri"/>
              <a:cs typeface="Calibri"/>
            </a:rPr>
            <a:t>Restore defaults</a:t>
          </a:r>
        </a:p>
      </xdr:txBody>
    </xdr:sp>
    <xdr:clientData/>
  </xdr:twoCellAnchor>
  <xdr:twoCellAnchor>
    <xdr:from>
      <xdr:col>6</xdr:col>
      <xdr:colOff>47625</xdr:colOff>
      <xdr:row>1</xdr:row>
      <xdr:rowOff>0</xdr:rowOff>
    </xdr:from>
    <xdr:to>
      <xdr:col>6</xdr:col>
      <xdr:colOff>1009650</xdr:colOff>
      <xdr:row>1</xdr:row>
      <xdr:rowOff>504825</xdr:rowOff>
    </xdr:to>
    <xdr:sp macro="[0]!RestoreBPCDefaultAssumptions">
      <xdr:nvSpPr>
        <xdr:cNvPr id="7" name="Bevel 9" descr="Copies default values to the cells below."/>
        <xdr:cNvSpPr>
          <a:spLocks/>
        </xdr:cNvSpPr>
      </xdr:nvSpPr>
      <xdr:spPr>
        <a:xfrm>
          <a:off x="8229600" y="1362075"/>
          <a:ext cx="962025" cy="504825"/>
        </a:xfrm>
        <a:prstGeom prst="bevel">
          <a:avLst/>
        </a:prstGeom>
        <a:solidFill>
          <a:srgbClr val="17375E"/>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latin typeface="Calibri"/>
              <a:ea typeface="Calibri"/>
              <a:cs typeface="Calibri"/>
            </a:rPr>
            <a:t>Restore defaults</a:t>
          </a:r>
        </a:p>
      </xdr:txBody>
    </xdr:sp>
    <xdr:clientData/>
  </xdr:twoCellAnchor>
  <xdr:twoCellAnchor>
    <xdr:from>
      <xdr:col>7</xdr:col>
      <xdr:colOff>38100</xdr:colOff>
      <xdr:row>1</xdr:row>
      <xdr:rowOff>0</xdr:rowOff>
    </xdr:from>
    <xdr:to>
      <xdr:col>7</xdr:col>
      <xdr:colOff>1000125</xdr:colOff>
      <xdr:row>1</xdr:row>
      <xdr:rowOff>504825</xdr:rowOff>
    </xdr:to>
    <xdr:sp macro="[0]!RestoreASDefaultAssumptions">
      <xdr:nvSpPr>
        <xdr:cNvPr id="8" name="Bevel 11" descr="Copies default values to the cells below."/>
        <xdr:cNvSpPr>
          <a:spLocks/>
        </xdr:cNvSpPr>
      </xdr:nvSpPr>
      <xdr:spPr>
        <a:xfrm>
          <a:off x="9267825" y="1362075"/>
          <a:ext cx="962025" cy="504825"/>
        </a:xfrm>
        <a:prstGeom prst="bevel">
          <a:avLst/>
        </a:prstGeom>
        <a:solidFill>
          <a:srgbClr val="17375E"/>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FFFFFF"/>
              </a:solidFill>
              <a:latin typeface="Calibri"/>
              <a:ea typeface="Calibri"/>
              <a:cs typeface="Calibri"/>
            </a:rPr>
            <a:t>Restore defaults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0</xdr:row>
      <xdr:rowOff>628650</xdr:rowOff>
    </xdr:from>
    <xdr:to>
      <xdr:col>2</xdr:col>
      <xdr:colOff>676275</xdr:colOff>
      <xdr:row>0</xdr:row>
      <xdr:rowOff>1114425</xdr:rowOff>
    </xdr:to>
    <xdr:sp>
      <xdr:nvSpPr>
        <xdr:cNvPr id="1" name="Text Box 216"/>
        <xdr:cNvSpPr txBox="1">
          <a:spLocks noChangeArrowheads="1"/>
        </xdr:cNvSpPr>
      </xdr:nvSpPr>
      <xdr:spPr>
        <a:xfrm>
          <a:off x="1457325" y="628650"/>
          <a:ext cx="3124200" cy="485775"/>
        </a:xfrm>
        <a:prstGeom prst="rect">
          <a:avLst/>
        </a:prstGeom>
        <a:solidFill>
          <a:srgbClr val="FFFFFF"/>
        </a:solidFill>
        <a:ln w="9525" cmpd="sng">
          <a:noFill/>
        </a:ln>
      </xdr:spPr>
      <xdr:txBody>
        <a:bodyPr vertOverflow="clip" wrap="square" lIns="36576" tIns="32004" rIns="0" bIns="0"/>
        <a:p>
          <a:pPr algn="l">
            <a:defRPr/>
          </a:pPr>
          <a:r>
            <a:rPr lang="en-US" cap="none" sz="1600" b="0" i="0" u="none" baseline="0">
              <a:solidFill>
                <a:srgbClr val="000000"/>
              </a:solidFill>
              <a:latin typeface="Arial"/>
              <a:ea typeface="Arial"/>
              <a:cs typeface="Arial"/>
            </a:rPr>
            <a:t>Principled Technologies</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TCO</a:t>
          </a:r>
          <a:r>
            <a:rPr lang="en-US" cap="none" sz="1200" b="1" i="0" u="none" baseline="0">
              <a:solidFill>
                <a:srgbClr val="000000"/>
              </a:solidFill>
              <a:latin typeface="Arial"/>
              <a:ea typeface="Arial"/>
              <a:cs typeface="Arial"/>
            </a:rPr>
            <a:t> calculator - assumptions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twoCellAnchor>
    <xdr:from>
      <xdr:col>1</xdr:col>
      <xdr:colOff>314325</xdr:colOff>
      <xdr:row>0</xdr:row>
      <xdr:rowOff>47625</xdr:rowOff>
    </xdr:from>
    <xdr:to>
      <xdr:col>1</xdr:col>
      <xdr:colOff>1238250</xdr:colOff>
      <xdr:row>0</xdr:row>
      <xdr:rowOff>1104900</xdr:rowOff>
    </xdr:to>
    <xdr:pic>
      <xdr:nvPicPr>
        <xdr:cNvPr id="2" name="Picture 214" descr="PT Logo"/>
        <xdr:cNvPicPr preferRelativeResize="1">
          <a:picLocks noChangeAspect="1"/>
        </xdr:cNvPicPr>
      </xdr:nvPicPr>
      <xdr:blipFill>
        <a:blip r:embed="rId1"/>
        <a:stretch>
          <a:fillRect/>
        </a:stretch>
      </xdr:blipFill>
      <xdr:spPr>
        <a:xfrm>
          <a:off x="476250" y="47625"/>
          <a:ext cx="9239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55"/>
  <sheetViews>
    <sheetView tabSelected="1" zoomScalePageLayoutView="0" workbookViewId="0" topLeftCell="A1">
      <selection activeCell="A1" sqref="A1"/>
    </sheetView>
  </sheetViews>
  <sheetFormatPr defaultColWidth="9.140625" defaultRowHeight="15"/>
  <cols>
    <col min="1" max="1" width="3.7109375" style="1" customWidth="1"/>
    <col min="2" max="2" width="54.28125" style="1" customWidth="1"/>
    <col min="3" max="8" width="15.7109375" style="1" customWidth="1"/>
    <col min="9" max="9" width="17.57421875" style="1" customWidth="1"/>
    <col min="10" max="16384" width="9.140625" style="3" customWidth="1"/>
  </cols>
  <sheetData>
    <row r="1" spans="2:8" ht="133.5" customHeight="1">
      <c r="B1" s="351"/>
      <c r="C1" s="351"/>
      <c r="D1" s="2"/>
      <c r="E1" s="2"/>
      <c r="F1" s="2"/>
      <c r="G1" s="2"/>
      <c r="H1" s="2"/>
    </row>
    <row r="2" spans="2:9" ht="15">
      <c r="B2" s="5" t="s">
        <v>177</v>
      </c>
      <c r="C2" s="5"/>
      <c r="D2" s="6"/>
      <c r="E2" s="6"/>
      <c r="F2" s="6"/>
      <c r="G2" s="6"/>
      <c r="H2" s="7"/>
      <c r="I2" s="4"/>
    </row>
    <row r="3" spans="1:12" s="13" customFormat="1" ht="45">
      <c r="A3" s="8"/>
      <c r="B3" s="9" t="s">
        <v>136</v>
      </c>
      <c r="C3" s="10" t="s">
        <v>204</v>
      </c>
      <c r="D3" s="10" t="s">
        <v>153</v>
      </c>
      <c r="E3" s="10" t="s">
        <v>305</v>
      </c>
      <c r="F3" s="10" t="s">
        <v>208</v>
      </c>
      <c r="G3" s="10" t="s">
        <v>150</v>
      </c>
      <c r="H3" s="10" t="s">
        <v>209</v>
      </c>
      <c r="I3" s="12"/>
      <c r="J3" s="305"/>
      <c r="K3" s="305"/>
      <c r="L3" s="305"/>
    </row>
    <row r="4" spans="2:12" ht="15">
      <c r="B4" s="14" t="s">
        <v>135</v>
      </c>
      <c r="C4" s="15">
        <f>ROUND(C5/TPS_num_clients,0)</f>
        <v>1370</v>
      </c>
      <c r="D4" s="15">
        <f>ROUND(D5/TMR_num_clients,0)</f>
        <v>1025</v>
      </c>
      <c r="E4" s="15">
        <f>ROUND(E5/VHD_num_clients,0)</f>
        <v>1419</v>
      </c>
      <c r="F4" s="15">
        <f>ROUND(F5/OSS_num_clients,0)</f>
        <v>898</v>
      </c>
      <c r="G4" s="15">
        <f>ROUND(G5/BPC_num_clients,0)</f>
        <v>2254</v>
      </c>
      <c r="H4" s="15">
        <f>ROUND(H5/AS_num_clients,0)</f>
        <v>774</v>
      </c>
      <c r="I4" s="4"/>
      <c r="J4" s="305"/>
      <c r="K4" s="305"/>
      <c r="L4" s="305"/>
    </row>
    <row r="5" spans="2:12" ht="15">
      <c r="B5" s="14" t="s">
        <v>132</v>
      </c>
      <c r="C5" s="15">
        <f aca="true" t="shared" si="0" ref="C5:H5">C35</f>
        <v>13695107</v>
      </c>
      <c r="D5" s="15">
        <f t="shared" si="0"/>
        <v>10247219</v>
      </c>
      <c r="E5" s="15">
        <f t="shared" si="0"/>
        <v>14187879</v>
      </c>
      <c r="F5" s="15">
        <f t="shared" si="0"/>
        <v>8979778</v>
      </c>
      <c r="G5" s="15">
        <f t="shared" si="0"/>
        <v>22541474</v>
      </c>
      <c r="H5" s="15">
        <f t="shared" si="0"/>
        <v>7740415</v>
      </c>
      <c r="I5" s="4"/>
      <c r="J5" s="305"/>
      <c r="K5" s="305"/>
      <c r="L5" s="305"/>
    </row>
    <row r="6" spans="2:12" ht="15">
      <c r="B6" s="9" t="s">
        <v>129</v>
      </c>
      <c r="C6" s="15">
        <f>ROUND(C7/TPS_num_clients,0)</f>
        <v>5478</v>
      </c>
      <c r="D6" s="15">
        <f>ROUND(D7/TMR_num_clients,0)</f>
        <v>4099</v>
      </c>
      <c r="E6" s="15">
        <f>ROUND(E7/VHD_num_clients,0)</f>
        <v>5675</v>
      </c>
      <c r="F6" s="15">
        <f>ROUND(F7/OSS_num_clients,0)</f>
        <v>3592</v>
      </c>
      <c r="G6" s="15">
        <f>ROUND(G7/BPC_num_clients,0)</f>
        <v>9017</v>
      </c>
      <c r="H6" s="15">
        <f>ROUND(H7/AS_num_clients,0)</f>
        <v>3096</v>
      </c>
      <c r="I6" s="4"/>
      <c r="J6" s="305"/>
      <c r="K6" s="305"/>
      <c r="L6" s="305"/>
    </row>
    <row r="7" spans="2:12" ht="15">
      <c r="B7" s="9" t="s">
        <v>128</v>
      </c>
      <c r="C7" s="16">
        <f aca="true" t="shared" si="1" ref="C7:H7">C42</f>
        <v>54780427.54</v>
      </c>
      <c r="D7" s="16">
        <f t="shared" si="1"/>
        <v>40988877</v>
      </c>
      <c r="E7" s="16">
        <f t="shared" si="1"/>
        <v>56751516.36</v>
      </c>
      <c r="F7" s="16">
        <f t="shared" si="1"/>
        <v>35919112.18</v>
      </c>
      <c r="G7" s="16">
        <f t="shared" si="1"/>
        <v>90165894.36</v>
      </c>
      <c r="H7" s="16">
        <f t="shared" si="1"/>
        <v>30961659.18</v>
      </c>
      <c r="I7" s="4"/>
      <c r="J7" s="305"/>
      <c r="K7" s="305"/>
      <c r="L7" s="305"/>
    </row>
    <row r="8" spans="4:12" ht="15">
      <c r="D8" s="17"/>
      <c r="E8" s="17"/>
      <c r="F8" s="17"/>
      <c r="H8" s="17"/>
      <c r="I8" s="4"/>
      <c r="J8" s="305"/>
      <c r="K8" s="305"/>
      <c r="L8" s="305"/>
    </row>
    <row r="9" spans="2:12" ht="15">
      <c r="B9" s="5" t="s">
        <v>178</v>
      </c>
      <c r="C9" s="5"/>
      <c r="D9" s="6"/>
      <c r="E9" s="6"/>
      <c r="F9" s="6"/>
      <c r="G9" s="6"/>
      <c r="H9" s="7"/>
      <c r="I9" s="4"/>
      <c r="J9" s="305"/>
      <c r="K9" s="305"/>
      <c r="L9" s="305"/>
    </row>
    <row r="10" spans="2:12" ht="45">
      <c r="B10" s="9" t="s">
        <v>136</v>
      </c>
      <c r="C10" s="10" t="s">
        <v>152</v>
      </c>
      <c r="D10" s="10" t="s">
        <v>153</v>
      </c>
      <c r="E10" s="10" t="s">
        <v>140</v>
      </c>
      <c r="F10" s="10" t="s">
        <v>208</v>
      </c>
      <c r="G10" s="10" t="s">
        <v>150</v>
      </c>
      <c r="H10" s="10" t="s">
        <v>209</v>
      </c>
      <c r="I10" s="4"/>
      <c r="J10" s="305"/>
      <c r="K10" s="305"/>
      <c r="L10" s="305"/>
    </row>
    <row r="11" spans="2:12" ht="15">
      <c r="B11" s="14" t="s">
        <v>135</v>
      </c>
      <c r="C11" s="15">
        <f>ROUND(C12/TPS_num_clients,0)</f>
        <v>826</v>
      </c>
      <c r="D11" s="15">
        <f>ROUND(D12/TMR_num_clients,0)</f>
        <v>1025</v>
      </c>
      <c r="E11" s="15">
        <f>ROUND(E12/VHD_num_clients,0)</f>
        <v>836</v>
      </c>
      <c r="F11" s="15">
        <f>ROUND(F12/OSS_num_clients,0)</f>
        <v>771</v>
      </c>
      <c r="G11" s="15">
        <f>ROUND(G12/BPC_num_clients,0)</f>
        <v>975</v>
      </c>
      <c r="H11" s="15">
        <f>ROUND(H12/AS_num_clients,0)</f>
        <v>774</v>
      </c>
      <c r="I11" s="4"/>
      <c r="J11" s="305"/>
      <c r="K11" s="305"/>
      <c r="L11" s="305"/>
    </row>
    <row r="12" spans="2:12" ht="15">
      <c r="B12" s="14" t="s">
        <v>132</v>
      </c>
      <c r="C12" s="15">
        <f aca="true" t="shared" si="2" ref="C12:H12">SUM(C31:C33)</f>
        <v>8256107</v>
      </c>
      <c r="D12" s="15">
        <f t="shared" si="2"/>
        <v>10247219</v>
      </c>
      <c r="E12" s="15">
        <f t="shared" si="2"/>
        <v>8356879</v>
      </c>
      <c r="F12" s="15">
        <f t="shared" si="2"/>
        <v>7705778</v>
      </c>
      <c r="G12" s="15">
        <f t="shared" si="2"/>
        <v>9752474</v>
      </c>
      <c r="H12" s="15">
        <f t="shared" si="2"/>
        <v>7740415</v>
      </c>
      <c r="I12" s="4"/>
      <c r="J12" s="305"/>
      <c r="K12" s="305"/>
      <c r="L12" s="305"/>
    </row>
    <row r="13" spans="2:12" ht="15">
      <c r="B13" s="9" t="s">
        <v>129</v>
      </c>
      <c r="C13" s="15">
        <f>ROUND(C14/TPS_num_clients,0)</f>
        <v>3302</v>
      </c>
      <c r="D13" s="15">
        <f>ROUND(D14/TMR_num_clients,0)</f>
        <v>4099</v>
      </c>
      <c r="E13" s="15">
        <f>ROUND(E14/VHD_num_clients,0)</f>
        <v>3343</v>
      </c>
      <c r="F13" s="15">
        <f>ROUND(F14/OSS_num_clients,0)</f>
        <v>3082</v>
      </c>
      <c r="G13" s="15">
        <f>ROUND(G14/BPC_num_clients,0)</f>
        <v>3901</v>
      </c>
      <c r="H13" s="15">
        <f>ROUND(H14/AS_num_clients,0)</f>
        <v>3096</v>
      </c>
      <c r="I13" s="4"/>
      <c r="J13" s="305"/>
      <c r="K13" s="305"/>
      <c r="L13" s="305"/>
    </row>
    <row r="14" spans="2:12" ht="15">
      <c r="B14" s="9" t="s">
        <v>128</v>
      </c>
      <c r="C14" s="16">
        <f aca="true" t="shared" si="3" ref="C14:H14">SUM(C38:C40)</f>
        <v>33024427.54</v>
      </c>
      <c r="D14" s="16">
        <f t="shared" si="3"/>
        <v>40988877</v>
      </c>
      <c r="E14" s="16">
        <f t="shared" si="3"/>
        <v>33427516.36</v>
      </c>
      <c r="F14" s="16">
        <f t="shared" si="3"/>
        <v>30823112.18</v>
      </c>
      <c r="G14" s="16">
        <f t="shared" si="3"/>
        <v>39009894.36</v>
      </c>
      <c r="H14" s="16">
        <f t="shared" si="3"/>
        <v>30961659.18</v>
      </c>
      <c r="I14" s="4"/>
      <c r="J14" s="305"/>
      <c r="K14" s="305"/>
      <c r="L14" s="305"/>
    </row>
    <row r="15" spans="4:12" ht="15">
      <c r="D15" s="17"/>
      <c r="E15" s="17"/>
      <c r="F15" s="17"/>
      <c r="H15" s="17"/>
      <c r="I15" s="4"/>
      <c r="J15" s="305"/>
      <c r="K15" s="305"/>
      <c r="L15" s="305"/>
    </row>
    <row r="16" spans="2:12" ht="15">
      <c r="B16" s="18" t="s">
        <v>179</v>
      </c>
      <c r="C16" s="18"/>
      <c r="D16" s="19"/>
      <c r="E16" s="19"/>
      <c r="F16" s="19"/>
      <c r="G16" s="20"/>
      <c r="H16" s="19"/>
      <c r="I16" s="4"/>
      <c r="J16" s="305"/>
      <c r="K16" s="305"/>
      <c r="L16" s="305"/>
    </row>
    <row r="17" spans="2:12" ht="15" customHeight="1">
      <c r="B17" s="21" t="s">
        <v>124</v>
      </c>
      <c r="C17" s="22">
        <v>10000</v>
      </c>
      <c r="D17" s="23">
        <v>10000</v>
      </c>
      <c r="E17" s="22">
        <v>10000</v>
      </c>
      <c r="F17" s="22">
        <v>10000</v>
      </c>
      <c r="G17" s="22">
        <v>10000</v>
      </c>
      <c r="H17" s="22">
        <v>10000</v>
      </c>
      <c r="I17" s="4"/>
      <c r="J17" s="305"/>
      <c r="K17" s="305"/>
      <c r="L17" s="305"/>
    </row>
    <row r="18" spans="2:9" ht="15">
      <c r="B18" s="21" t="s">
        <v>120</v>
      </c>
      <c r="C18" s="24">
        <v>4</v>
      </c>
      <c r="D18" s="24">
        <v>4</v>
      </c>
      <c r="E18" s="24">
        <v>4</v>
      </c>
      <c r="F18" s="24">
        <v>4</v>
      </c>
      <c r="G18" s="24">
        <v>4</v>
      </c>
      <c r="H18" s="24">
        <v>4</v>
      </c>
      <c r="I18" s="4"/>
    </row>
    <row r="19" spans="2:9" ht="15">
      <c r="B19" s="21" t="s">
        <v>117</v>
      </c>
      <c r="C19" s="24">
        <v>120</v>
      </c>
      <c r="D19" s="24">
        <v>120</v>
      </c>
      <c r="E19" s="24">
        <v>120</v>
      </c>
      <c r="F19" s="24">
        <v>120</v>
      </c>
      <c r="G19" s="24">
        <v>120</v>
      </c>
      <c r="H19" s="24">
        <v>120</v>
      </c>
      <c r="I19" s="4"/>
    </row>
    <row r="20" spans="2:9" ht="15">
      <c r="B20" s="25" t="s">
        <v>195</v>
      </c>
      <c r="C20" s="26">
        <v>57</v>
      </c>
      <c r="D20" s="29" t="s">
        <v>54</v>
      </c>
      <c r="E20" s="197" t="s">
        <v>196</v>
      </c>
      <c r="F20" s="27">
        <v>153</v>
      </c>
      <c r="G20" s="28" t="s">
        <v>54</v>
      </c>
      <c r="H20" s="29">
        <v>399</v>
      </c>
      <c r="I20" s="30"/>
    </row>
    <row r="21" spans="1:9" ht="15" customHeight="1">
      <c r="A21" s="3"/>
      <c r="B21" s="31" t="s">
        <v>197</v>
      </c>
      <c r="C21" s="29">
        <v>3.25</v>
      </c>
      <c r="D21" s="29">
        <v>0</v>
      </c>
      <c r="E21" s="29" t="s">
        <v>198</v>
      </c>
      <c r="F21" s="29">
        <v>0.75</v>
      </c>
      <c r="G21" s="29">
        <v>7.7</v>
      </c>
      <c r="H21" s="29">
        <v>0</v>
      </c>
      <c r="I21" s="30"/>
    </row>
    <row r="22" ht="15">
      <c r="I22" s="32"/>
    </row>
    <row r="23" spans="2:9" ht="39">
      <c r="B23" s="33" t="s">
        <v>313</v>
      </c>
      <c r="C23" s="19"/>
      <c r="D23" s="19"/>
      <c r="E23" s="19"/>
      <c r="F23" s="19"/>
      <c r="G23" s="34"/>
      <c r="H23" s="19"/>
      <c r="I23" s="32"/>
    </row>
    <row r="24" spans="2:9" ht="15" customHeight="1">
      <c r="B24" s="21" t="s">
        <v>124</v>
      </c>
      <c r="C24" s="249">
        <v>10000</v>
      </c>
      <c r="D24" s="249">
        <v>10000</v>
      </c>
      <c r="E24" s="249">
        <v>10000</v>
      </c>
      <c r="F24" s="249">
        <v>10000</v>
      </c>
      <c r="G24" s="249">
        <v>10000</v>
      </c>
      <c r="H24" s="249">
        <v>10000</v>
      </c>
      <c r="I24" s="32"/>
    </row>
    <row r="25" spans="2:9" ht="15">
      <c r="B25" s="21" t="s">
        <v>120</v>
      </c>
      <c r="C25" s="250">
        <v>4</v>
      </c>
      <c r="D25" s="250">
        <v>4</v>
      </c>
      <c r="E25" s="250">
        <v>4</v>
      </c>
      <c r="F25" s="250">
        <v>4</v>
      </c>
      <c r="G25" s="250">
        <v>4</v>
      </c>
      <c r="H25" s="250">
        <v>4</v>
      </c>
      <c r="I25" s="32"/>
    </row>
    <row r="26" spans="2:9" ht="15">
      <c r="B26" s="21" t="s">
        <v>117</v>
      </c>
      <c r="C26" s="250">
        <v>120</v>
      </c>
      <c r="D26" s="250">
        <v>120</v>
      </c>
      <c r="E26" s="250">
        <v>120</v>
      </c>
      <c r="F26" s="250">
        <v>120</v>
      </c>
      <c r="G26" s="250">
        <v>120</v>
      </c>
      <c r="H26" s="250">
        <v>120</v>
      </c>
      <c r="I26" s="32"/>
    </row>
    <row r="27" spans="2:9" ht="15">
      <c r="B27" s="25" t="s">
        <v>195</v>
      </c>
      <c r="C27" s="251">
        <v>57</v>
      </c>
      <c r="D27" s="252" t="s">
        <v>54</v>
      </c>
      <c r="E27" s="251">
        <v>36</v>
      </c>
      <c r="F27" s="253">
        <v>153</v>
      </c>
      <c r="G27" s="254" t="s">
        <v>54</v>
      </c>
      <c r="H27" s="252">
        <v>399</v>
      </c>
      <c r="I27" s="32"/>
    </row>
    <row r="28" spans="2:9" ht="15" customHeight="1">
      <c r="B28" s="31" t="s">
        <v>197</v>
      </c>
      <c r="C28" s="252">
        <v>3.25</v>
      </c>
      <c r="D28" s="252">
        <v>0</v>
      </c>
      <c r="E28" s="252">
        <v>3.5</v>
      </c>
      <c r="F28" s="252">
        <v>0.75</v>
      </c>
      <c r="G28" s="252">
        <v>7.7</v>
      </c>
      <c r="H28" s="252">
        <v>0</v>
      </c>
      <c r="I28" s="32"/>
    </row>
    <row r="29" ht="15">
      <c r="I29" s="32"/>
    </row>
    <row r="30" spans="2:9" ht="45">
      <c r="B30" s="132" t="s">
        <v>270</v>
      </c>
      <c r="C30" s="261" t="s">
        <v>204</v>
      </c>
      <c r="D30" s="262" t="s">
        <v>153</v>
      </c>
      <c r="E30" s="262" t="s">
        <v>140</v>
      </c>
      <c r="F30" s="10" t="s">
        <v>208</v>
      </c>
      <c r="G30" s="10" t="s">
        <v>150</v>
      </c>
      <c r="H30" s="10" t="s">
        <v>209</v>
      </c>
      <c r="I30" s="4"/>
    </row>
    <row r="31" spans="2:9" ht="15">
      <c r="B31" s="35" t="s">
        <v>109</v>
      </c>
      <c r="C31" s="36">
        <f>ROUND(C38/TPS_upgrade_cycle,0)</f>
        <v>4544934</v>
      </c>
      <c r="D31" s="37">
        <f>ROUND(D38/TMR_upgrade_cycle,0)</f>
        <v>2625557</v>
      </c>
      <c r="E31" s="36">
        <f>ROUND(E38/VHD_upgrade_cycle,0)</f>
        <v>4271177</v>
      </c>
      <c r="F31" s="37">
        <f>ROUND(F38/OSS_upgrade_cycle,0)</f>
        <v>3450485</v>
      </c>
      <c r="G31" s="36">
        <f>ROUND(G38/BPC_upgrade_cycle,0)</f>
        <v>6253689</v>
      </c>
      <c r="H31" s="37">
        <f>ROUND(H38/AS_upgrade_cycle,0)</f>
        <v>3132175</v>
      </c>
      <c r="I31" s="4"/>
    </row>
    <row r="32" spans="2:9" ht="15">
      <c r="B32" s="38" t="s">
        <v>105</v>
      </c>
      <c r="C32" s="36">
        <f>Power!C5</f>
        <v>253830</v>
      </c>
      <c r="D32" s="36">
        <f>Power!D5</f>
        <v>402884</v>
      </c>
      <c r="E32" s="36">
        <f>Power!E5</f>
        <v>312159</v>
      </c>
      <c r="F32" s="36">
        <f>Power!F5</f>
        <v>447488</v>
      </c>
      <c r="G32" s="36">
        <f>Power!G5</f>
        <v>565342</v>
      </c>
      <c r="H32" s="36">
        <f>Power!H5</f>
        <v>424614</v>
      </c>
      <c r="I32" s="4"/>
    </row>
    <row r="33" spans="2:9" ht="15">
      <c r="B33" s="38" t="s">
        <v>100</v>
      </c>
      <c r="C33" s="36">
        <f>Manageability!C10</f>
        <v>3457343</v>
      </c>
      <c r="D33" s="36">
        <f>Manageability!D10</f>
        <v>7218778</v>
      </c>
      <c r="E33" s="36">
        <f>Manageability!E10</f>
        <v>3773543</v>
      </c>
      <c r="F33" s="36">
        <f>Manageability!F10</f>
        <v>3807805</v>
      </c>
      <c r="G33" s="36">
        <f>Manageability!G10</f>
        <v>2933443</v>
      </c>
      <c r="H33" s="36">
        <f>Manageability!H10</f>
        <v>4183626</v>
      </c>
      <c r="I33" s="4"/>
    </row>
    <row r="34" spans="2:9" ht="15">
      <c r="B34" s="38" t="s">
        <v>95</v>
      </c>
      <c r="C34" s="36">
        <f>Productivity!C3</f>
        <v>5439000</v>
      </c>
      <c r="D34" s="36">
        <f>Productivity!D3</f>
        <v>0</v>
      </c>
      <c r="E34" s="36">
        <f>Productivity!E3</f>
        <v>5831000</v>
      </c>
      <c r="F34" s="36">
        <f>Productivity!F3</f>
        <v>1274000</v>
      </c>
      <c r="G34" s="36">
        <f>Productivity!G3</f>
        <v>12789000</v>
      </c>
      <c r="H34" s="36">
        <f>Productivity!H3</f>
        <v>0</v>
      </c>
      <c r="I34" s="4"/>
    </row>
    <row r="35" spans="2:9" ht="15">
      <c r="B35" s="38" t="s">
        <v>67</v>
      </c>
      <c r="C35" s="36">
        <f aca="true" t="shared" si="4" ref="C35:H35">SUM(C31:C34)</f>
        <v>13695107</v>
      </c>
      <c r="D35" s="36">
        <f t="shared" si="4"/>
        <v>10247219</v>
      </c>
      <c r="E35" s="36">
        <f t="shared" si="4"/>
        <v>14187879</v>
      </c>
      <c r="F35" s="36">
        <f t="shared" si="4"/>
        <v>8979778</v>
      </c>
      <c r="G35" s="36">
        <f t="shared" si="4"/>
        <v>22541474</v>
      </c>
      <c r="H35" s="36">
        <f t="shared" si="4"/>
        <v>7740415</v>
      </c>
      <c r="I35" s="4"/>
    </row>
    <row r="36" spans="4:9" ht="15">
      <c r="D36" s="17"/>
      <c r="E36" s="17"/>
      <c r="F36" s="17"/>
      <c r="H36" s="17"/>
      <c r="I36" s="4"/>
    </row>
    <row r="37" spans="2:9" ht="45">
      <c r="B37" s="132" t="s">
        <v>88</v>
      </c>
      <c r="C37" s="261" t="s">
        <v>204</v>
      </c>
      <c r="D37" s="262" t="s">
        <v>153</v>
      </c>
      <c r="E37" s="262" t="s">
        <v>140</v>
      </c>
      <c r="F37" s="10" t="s">
        <v>208</v>
      </c>
      <c r="G37" s="10" t="s">
        <v>150</v>
      </c>
      <c r="H37" s="10" t="s">
        <v>209</v>
      </c>
      <c r="I37" s="4"/>
    </row>
    <row r="38" spans="2:9" ht="15">
      <c r="B38" s="38" t="s">
        <v>156</v>
      </c>
      <c r="C38" s="36">
        <f>Deployment!C10</f>
        <v>18179735.54</v>
      </c>
      <c r="D38" s="36">
        <f>Deployment!D10</f>
        <v>10502229</v>
      </c>
      <c r="E38" s="36">
        <f>Deployment!E10</f>
        <v>17084708.36</v>
      </c>
      <c r="F38" s="36">
        <f>Deployment!F10</f>
        <v>13801940.18</v>
      </c>
      <c r="G38" s="36">
        <f>Deployment!G10</f>
        <v>25014754.36</v>
      </c>
      <c r="H38" s="36">
        <f>Deployment!H10</f>
        <v>12528699.18</v>
      </c>
      <c r="I38" s="4"/>
    </row>
    <row r="39" spans="2:9" ht="15">
      <c r="B39" s="38" t="s">
        <v>82</v>
      </c>
      <c r="C39" s="36">
        <f>ROUND(Power!C5*TPS_upgrade_cycle,0)</f>
        <v>1015320</v>
      </c>
      <c r="D39" s="36">
        <f>ROUND(Power!D5*TMR_upgrade_cycle,0)</f>
        <v>1611536</v>
      </c>
      <c r="E39" s="36">
        <f>ROUND(Power!E5*VHD_upgrade_cycle,0)</f>
        <v>1248636</v>
      </c>
      <c r="F39" s="36">
        <f>ROUND(Power!F5*OSS_upgrade_cycle,0)</f>
        <v>1789952</v>
      </c>
      <c r="G39" s="36">
        <f>ROUND(Power!G5*BPC_upgrade_cycle,0)</f>
        <v>2261368</v>
      </c>
      <c r="H39" s="36">
        <f>ROUND(Power!H5*AS_upgrade_cycle,0)</f>
        <v>1698456</v>
      </c>
      <c r="I39" s="4"/>
    </row>
    <row r="40" spans="2:9" ht="15">
      <c r="B40" s="38" t="s">
        <v>78</v>
      </c>
      <c r="C40" s="36">
        <f>ROUND(Manageability!C10*TPS_upgrade_cycle,0)</f>
        <v>13829372</v>
      </c>
      <c r="D40" s="36">
        <f>ROUND(Manageability!D10*TMR_upgrade_cycle,0)</f>
        <v>28875112</v>
      </c>
      <c r="E40" s="36">
        <f>ROUND(Manageability!E10*VHD_upgrade_cycle,0)</f>
        <v>15094172</v>
      </c>
      <c r="F40" s="36">
        <f>ROUND(Manageability!F10*OSS_upgrade_cycle,0)</f>
        <v>15231220</v>
      </c>
      <c r="G40" s="36">
        <f>ROUND(Manageability!G10*BPC_upgrade_cycle,0)</f>
        <v>11733772</v>
      </c>
      <c r="H40" s="36">
        <f>ROUND(Manageability!H10*AS_upgrade_cycle,0)</f>
        <v>16734504</v>
      </c>
      <c r="I40" s="4"/>
    </row>
    <row r="41" spans="2:9" ht="15">
      <c r="B41" s="38" t="s">
        <v>73</v>
      </c>
      <c r="C41" s="36">
        <f>ROUND(Productivity!C3*TPS_upgrade_cycle,0)</f>
        <v>21756000</v>
      </c>
      <c r="D41" s="36">
        <f>ROUND(Productivity!D3*TMR_upgrade_cycle,0)</f>
        <v>0</v>
      </c>
      <c r="E41" s="36">
        <f>ROUND(Productivity!E3*VHD_upgrade_cycle,0)</f>
        <v>23324000</v>
      </c>
      <c r="F41" s="36">
        <f>ROUND(Productivity!F3*OSS_upgrade_cycle,0)</f>
        <v>5096000</v>
      </c>
      <c r="G41" s="36">
        <f>ROUND(Productivity!G3*BPC_upgrade_cycle,0)</f>
        <v>51156000</v>
      </c>
      <c r="H41" s="36">
        <f>ROUND(Productivity!H3*AS_upgrade_cycle,0)</f>
        <v>0</v>
      </c>
      <c r="I41" s="4"/>
    </row>
    <row r="42" spans="2:9" ht="15.75" customHeight="1">
      <c r="B42" s="38" t="s">
        <v>67</v>
      </c>
      <c r="C42" s="36">
        <f aca="true" t="shared" si="5" ref="C42:H42">SUM(C38:C41)</f>
        <v>54780427.54</v>
      </c>
      <c r="D42" s="36">
        <f t="shared" si="5"/>
        <v>40988877</v>
      </c>
      <c r="E42" s="36">
        <f t="shared" si="5"/>
        <v>56751516.36</v>
      </c>
      <c r="F42" s="36">
        <f t="shared" si="5"/>
        <v>35919112.18</v>
      </c>
      <c r="G42" s="36">
        <f t="shared" si="5"/>
        <v>90165894.36</v>
      </c>
      <c r="H42" s="36">
        <f t="shared" si="5"/>
        <v>30961659.18</v>
      </c>
      <c r="I42" s="4"/>
    </row>
    <row r="43" ht="12.75">
      <c r="I43" s="4"/>
    </row>
    <row r="44" spans="1:9" s="42" customFormat="1" ht="15">
      <c r="A44" s="30"/>
      <c r="B44" s="39"/>
      <c r="C44" s="39"/>
      <c r="D44" s="39"/>
      <c r="E44" s="39"/>
      <c r="F44" s="39"/>
      <c r="G44" s="39"/>
      <c r="H44" s="40"/>
      <c r="I44" s="41"/>
    </row>
    <row r="45" spans="1:9" s="42" customFormat="1" ht="15">
      <c r="A45" s="30"/>
      <c r="B45" s="43"/>
      <c r="C45" s="44"/>
      <c r="D45" s="44"/>
      <c r="E45" s="44"/>
      <c r="F45" s="44"/>
      <c r="G45" s="44"/>
      <c r="H45" s="44"/>
      <c r="I45" s="41"/>
    </row>
    <row r="46" spans="1:9" s="42" customFormat="1" ht="15">
      <c r="A46" s="30"/>
      <c r="B46" s="43"/>
      <c r="C46" s="44"/>
      <c r="D46" s="44"/>
      <c r="E46" s="44"/>
      <c r="F46" s="44"/>
      <c r="G46" s="44"/>
      <c r="H46" s="44"/>
      <c r="I46" s="41"/>
    </row>
    <row r="47" spans="1:9" s="42" customFormat="1" ht="15">
      <c r="A47" s="30"/>
      <c r="B47" s="43"/>
      <c r="C47" s="44"/>
      <c r="D47" s="44"/>
      <c r="E47" s="44"/>
      <c r="F47" s="44"/>
      <c r="G47" s="44"/>
      <c r="H47" s="44"/>
      <c r="I47" s="41"/>
    </row>
    <row r="48" spans="1:9" s="42" customFormat="1" ht="15">
      <c r="A48" s="30"/>
      <c r="B48" s="43"/>
      <c r="C48" s="45"/>
      <c r="D48" s="45"/>
      <c r="E48" s="45"/>
      <c r="F48" s="45"/>
      <c r="G48" s="45"/>
      <c r="H48" s="45"/>
      <c r="I48" s="30"/>
    </row>
    <row r="49" spans="1:9" s="42" customFormat="1" ht="15">
      <c r="A49" s="30"/>
      <c r="B49" s="30"/>
      <c r="C49" s="30"/>
      <c r="D49" s="30"/>
      <c r="E49" s="30"/>
      <c r="F49" s="30"/>
      <c r="G49" s="30"/>
      <c r="H49" s="30"/>
      <c r="I49" s="41"/>
    </row>
    <row r="50" ht="15">
      <c r="I50" s="46"/>
    </row>
    <row r="52" ht="15">
      <c r="I52" s="46"/>
    </row>
    <row r="53" ht="15">
      <c r="I53" s="46"/>
    </row>
    <row r="54" ht="15">
      <c r="I54" s="46"/>
    </row>
    <row r="55" ht="15">
      <c r="I55" s="46"/>
    </row>
  </sheetData>
  <sheetProtection sheet="1" objects="1" scenarios="1"/>
  <mergeCells count="1">
    <mergeCell ref="B1:C1"/>
  </mergeCells>
  <printOptions/>
  <pageMargins left="0.7" right="0.7" top="0.75" bottom="0.75" header="0.3" footer="0.3"/>
  <pageSetup fitToHeight="0" fitToWidth="1" horizontalDpi="600" verticalDpi="600" orientation="landscape" scale="72" r:id="rId2"/>
  <rowBreaks count="2" manualBreakCount="2">
    <brk id="29" max="255" man="1"/>
    <brk id="47" max="255"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V126"/>
  <sheetViews>
    <sheetView zoomScalePageLayoutView="0" workbookViewId="0" topLeftCell="A1">
      <selection activeCell="A1" sqref="A1"/>
    </sheetView>
  </sheetViews>
  <sheetFormatPr defaultColWidth="9.140625" defaultRowHeight="15"/>
  <cols>
    <col min="1" max="1" width="3.7109375" style="3" customWidth="1"/>
    <col min="2" max="2" width="56.28125" style="4" customWidth="1"/>
    <col min="3" max="3" width="13.7109375" style="4" customWidth="1"/>
    <col min="4" max="4" width="14.7109375" style="4" customWidth="1"/>
    <col min="5" max="8" width="15.7109375" style="4" customWidth="1"/>
    <col min="9" max="9" width="9.140625" style="4" customWidth="1"/>
    <col min="10" max="16384" width="9.140625" style="3" customWidth="1"/>
  </cols>
  <sheetData>
    <row r="1" spans="1:8" ht="99" customHeight="1">
      <c r="A1" s="1"/>
      <c r="B1" s="352"/>
      <c r="C1" s="352"/>
      <c r="D1" s="98"/>
      <c r="E1" s="99"/>
      <c r="F1" s="98"/>
      <c r="G1" s="98"/>
      <c r="H1" s="98"/>
    </row>
    <row r="2" spans="2:9" s="100" customFormat="1" ht="45">
      <c r="B2" s="101" t="s">
        <v>139</v>
      </c>
      <c r="C2" s="10" t="s">
        <v>204</v>
      </c>
      <c r="D2" s="10" t="s">
        <v>153</v>
      </c>
      <c r="E2" s="10" t="s">
        <v>140</v>
      </c>
      <c r="F2" s="10" t="s">
        <v>208</v>
      </c>
      <c r="G2" s="10" t="s">
        <v>150</v>
      </c>
      <c r="H2" s="10" t="s">
        <v>209</v>
      </c>
      <c r="I2" s="102"/>
    </row>
    <row r="3" spans="2:9" s="100" customFormat="1" ht="15">
      <c r="B3" s="101"/>
      <c r="C3" s="10"/>
      <c r="D3" s="10"/>
      <c r="E3" s="10"/>
      <c r="F3" s="10"/>
      <c r="G3" s="10"/>
      <c r="H3" s="10"/>
      <c r="I3" s="102"/>
    </row>
    <row r="4" spans="1:8" ht="15">
      <c r="A4" s="1"/>
      <c r="B4" s="103" t="s">
        <v>373</v>
      </c>
      <c r="C4" s="198">
        <f aca="true" t="shared" si="0" ref="C4:H4">C53</f>
        <v>3172880</v>
      </c>
      <c r="D4" s="198">
        <f t="shared" si="0"/>
        <v>5036046</v>
      </c>
      <c r="E4" s="199">
        <f t="shared" si="0"/>
        <v>3901992</v>
      </c>
      <c r="F4" s="198">
        <f t="shared" si="0"/>
        <v>5593602</v>
      </c>
      <c r="G4" s="198">
        <f t="shared" si="0"/>
        <v>7066780</v>
      </c>
      <c r="H4" s="198">
        <f t="shared" si="0"/>
        <v>5307676</v>
      </c>
    </row>
    <row r="5" spans="1:8" ht="15">
      <c r="A5" s="1"/>
      <c r="B5" s="103" t="s">
        <v>134</v>
      </c>
      <c r="C5" s="200">
        <f aca="true" t="shared" si="1" ref="C5:H5">C55</f>
        <v>253830</v>
      </c>
      <c r="D5" s="200">
        <f t="shared" si="1"/>
        <v>402884</v>
      </c>
      <c r="E5" s="201">
        <f t="shared" si="1"/>
        <v>312159</v>
      </c>
      <c r="F5" s="200">
        <f t="shared" si="1"/>
        <v>447488</v>
      </c>
      <c r="G5" s="200">
        <f t="shared" si="1"/>
        <v>565342</v>
      </c>
      <c r="H5" s="200">
        <f t="shared" si="1"/>
        <v>424614</v>
      </c>
    </row>
    <row r="6" spans="1:8" ht="15">
      <c r="A6" s="1"/>
      <c r="B6" s="49"/>
      <c r="D6" s="81"/>
      <c r="E6" s="104"/>
      <c r="F6" s="81"/>
      <c r="H6" s="81"/>
    </row>
    <row r="7" spans="1:8" ht="15">
      <c r="A7" s="1"/>
      <c r="B7" s="33" t="s">
        <v>326</v>
      </c>
      <c r="C7" s="33"/>
      <c r="D7" s="19"/>
      <c r="E7" s="19"/>
      <c r="F7" s="19"/>
      <c r="G7" s="34"/>
      <c r="H7" s="19"/>
    </row>
    <row r="8" spans="1:8" ht="15">
      <c r="A8" s="1"/>
      <c r="B8" s="105" t="s">
        <v>374</v>
      </c>
      <c r="C8" s="217">
        <f>ROUND(((TPS_client_running_power*TPS_Client_On_Hours_Per_Year)*TPS_num_clients)/1000,0)</f>
        <v>295960</v>
      </c>
      <c r="D8" s="217">
        <f>ROUND(((TMR_client_running_power*TMR_Client_On_Hours_Per_Year)*TMR_num_clients)/1000,0)</f>
        <v>1760080</v>
      </c>
      <c r="E8" s="218">
        <f>ROUND(((VHD_client_running_power*VHD_Client_On_Hours_Per_Year)*VHD_num_clients)/1000,0)</f>
        <v>295960</v>
      </c>
      <c r="F8" s="217">
        <f>ROUND(((OSS_client_running_power*OSS_Client_On_Hours_Per_Year)*OSS_num_clients)/1000,0)</f>
        <v>1760080</v>
      </c>
      <c r="G8" s="217">
        <f>ROUND(((BPC_client_running_power*BPC_Client_On_Hours_Per_Year)*BPC_num_clients)/1000,0)</f>
        <v>295960</v>
      </c>
      <c r="H8" s="217">
        <f>ROUND(((AS_client_running_power*AS_Client_On_Hours_Per_Year)*AS_num_clients)/1000,0)</f>
        <v>1760080</v>
      </c>
    </row>
    <row r="9" spans="1:8" ht="15">
      <c r="A9" s="1"/>
      <c r="B9" s="105" t="s">
        <v>375</v>
      </c>
      <c r="C9" s="217">
        <f>ROUND((TPS_client_standby_power*TPS_Client_Standby_Hours_Per_Year*TPS_num_clients)/1000,0)</f>
        <v>11760</v>
      </c>
      <c r="D9" s="217">
        <f>ROUND((TMR_client_standby_power*TMR_Client_Standby_Hours_Per_Year*TMR_num_clients)/1000,0)</f>
        <v>133280</v>
      </c>
      <c r="E9" s="218">
        <f>ROUND((VHD_client_standby_power*VHD_Client_Standby_Hours_Per_Year*VHD_num_clients)/1000,0)</f>
        <v>11760</v>
      </c>
      <c r="F9" s="217">
        <f>ROUND((OSS_client_standby_power*OSS_Client_Standby_Hours_Per_Year*OSS_num_clients)/1000,0)</f>
        <v>133280</v>
      </c>
      <c r="G9" s="217">
        <f>ROUND((BPC_client_standby_power*BPC_Client_Standby_Hours_Per_Year*BPC_num_clients)/1000,0)</f>
        <v>11760</v>
      </c>
      <c r="H9" s="217">
        <f>ROUND((AS_client_standby_power*AS_Client_Standby_Hours_Per_Year*AS_num_clients)/1000,0)</f>
        <v>133280</v>
      </c>
    </row>
    <row r="10" spans="1:8" ht="15">
      <c r="A10" s="1"/>
      <c r="B10" s="105" t="s">
        <v>376</v>
      </c>
      <c r="C10" s="205">
        <f>ROUND((TPS_num_clients*TPS_client_off_power*TPS_Client_Off_Hours_Per_Year)/1000,0)</f>
        <v>0</v>
      </c>
      <c r="D10" s="205">
        <f>ROUND((TMR_num_clients*TMR_client_off_power*TMR_Client_On_Hours_Per_Year)/1000,0)</f>
        <v>0</v>
      </c>
      <c r="E10" s="210">
        <f>ROUND((VHD_num_clients*VHD_client_off_power*VHD_Client_Off_Hours_Per_Year)/1000,0)</f>
        <v>0</v>
      </c>
      <c r="F10" s="205">
        <f>ROUND((OSS_num_clients*OSS_client_off_power*OSS_Client_Off_Hours_Per_Year)/1000,0)</f>
        <v>0</v>
      </c>
      <c r="G10" s="205">
        <f>ROUND((BPC_num_clients*BPC_client_off_power*BPC_Client_Off_Hours_Per_Year)/1000,0)</f>
        <v>0</v>
      </c>
      <c r="H10" s="205">
        <f>ROUND((AS_num_clients*AS_client_off_power*AS_Client_Off_Hours_Per_Year)/1000,0)</f>
        <v>0</v>
      </c>
    </row>
    <row r="11" spans="1:8" ht="15">
      <c r="A11" s="1"/>
      <c r="B11" s="301" t="s">
        <v>377</v>
      </c>
      <c r="C11" s="300">
        <f aca="true" t="shared" si="2" ref="C11:H11">SUM(C8:C10)</f>
        <v>307720</v>
      </c>
      <c r="D11" s="300">
        <f t="shared" si="2"/>
        <v>1893360</v>
      </c>
      <c r="E11" s="300">
        <f t="shared" si="2"/>
        <v>307720</v>
      </c>
      <c r="F11" s="300">
        <f t="shared" si="2"/>
        <v>1893360</v>
      </c>
      <c r="G11" s="300">
        <f t="shared" si="2"/>
        <v>307720</v>
      </c>
      <c r="H11" s="300">
        <f t="shared" si="2"/>
        <v>1893360</v>
      </c>
    </row>
    <row r="12" spans="1:8" ht="15">
      <c r="A12" s="1"/>
      <c r="B12" s="301" t="s">
        <v>327</v>
      </c>
      <c r="C12" s="304">
        <f>TPS_server_cooling</f>
        <v>1</v>
      </c>
      <c r="D12" s="304">
        <f>TMR_server_cooling</f>
        <v>1</v>
      </c>
      <c r="E12" s="304">
        <f>VHD_server_cooling</f>
        <v>1</v>
      </c>
      <c r="F12" s="304">
        <f>OSS_server_cooling</f>
        <v>1</v>
      </c>
      <c r="G12" s="304">
        <f>BPC_server_cooling</f>
        <v>1</v>
      </c>
      <c r="H12" s="304">
        <f>AS_server_cooling</f>
        <v>1</v>
      </c>
    </row>
    <row r="13" spans="1:8" ht="15">
      <c r="A13" s="1"/>
      <c r="B13" s="341" t="s">
        <v>378</v>
      </c>
      <c r="C13" s="341">
        <f>ROUND(C11*TPS_server_cooling,0)</f>
        <v>307720</v>
      </c>
      <c r="D13" s="341">
        <f>ROUND(D11*TMR_server_cooling,0)</f>
        <v>1893360</v>
      </c>
      <c r="E13" s="342">
        <f>ROUND(E11*VHD_server_cooling,0)</f>
        <v>307720</v>
      </c>
      <c r="F13" s="341">
        <f>ROUND(F11*OSS_server_cooling,0)</f>
        <v>1893360</v>
      </c>
      <c r="G13" s="341">
        <f>ROUND(G11*BPC_server_cooling,0)</f>
        <v>307720</v>
      </c>
      <c r="H13" s="341">
        <f>ROUND(H11*AS_server_cooling,0)</f>
        <v>1893360</v>
      </c>
    </row>
    <row r="14" spans="1:8" ht="15">
      <c r="A14" s="1"/>
      <c r="B14" s="319" t="s">
        <v>379</v>
      </c>
      <c r="C14" s="343">
        <f aca="true" t="shared" si="3" ref="C14:H14">C11+C13</f>
        <v>615440</v>
      </c>
      <c r="D14" s="343">
        <f t="shared" si="3"/>
        <v>3786720</v>
      </c>
      <c r="E14" s="343">
        <f t="shared" si="3"/>
        <v>615440</v>
      </c>
      <c r="F14" s="343">
        <f t="shared" si="3"/>
        <v>3786720</v>
      </c>
      <c r="G14" s="343">
        <f t="shared" si="3"/>
        <v>615440</v>
      </c>
      <c r="H14" s="343">
        <f t="shared" si="3"/>
        <v>3786720</v>
      </c>
    </row>
    <row r="15" spans="1:8" ht="15">
      <c r="A15" s="1"/>
      <c r="B15" s="327" t="s">
        <v>380</v>
      </c>
      <c r="C15" s="329">
        <f>TPS_client_power_cost</f>
        <v>0.08</v>
      </c>
      <c r="D15" s="329">
        <f>TMR_client_power_cost</f>
        <v>0.08</v>
      </c>
      <c r="E15" s="329">
        <f>VHD_client_power_cost</f>
        <v>0.08</v>
      </c>
      <c r="F15" s="329">
        <f>OSS_client_power_cost</f>
        <v>0.08</v>
      </c>
      <c r="G15" s="329">
        <f>BPC_client_power_cost</f>
        <v>0.08</v>
      </c>
      <c r="H15" s="329">
        <f>AS_client_power_cost</f>
        <v>0.08</v>
      </c>
    </row>
    <row r="16" spans="1:8" ht="15">
      <c r="A16" s="1"/>
      <c r="B16" s="319" t="s">
        <v>114</v>
      </c>
      <c r="C16" s="344">
        <f>ROUND(C14*TPS_client_power_cost,0)</f>
        <v>49235</v>
      </c>
      <c r="D16" s="344">
        <f>ROUND(D14*TMR_client_power_cost,0)</f>
        <v>302938</v>
      </c>
      <c r="E16" s="345">
        <f>ROUND(E14*VHD_client_power_cost,0)</f>
        <v>49235</v>
      </c>
      <c r="F16" s="344">
        <f>ROUND(F14*OSS_client_power_cost,0)</f>
        <v>302938</v>
      </c>
      <c r="G16" s="344">
        <f>ROUND(G14*BPC_client_power_cost,0)</f>
        <v>49235</v>
      </c>
      <c r="H16" s="344">
        <f>ROUND(H14*AS_client_power_cost,0)</f>
        <v>302938</v>
      </c>
    </row>
    <row r="17" spans="1:8" ht="15">
      <c r="A17" s="1"/>
      <c r="B17" s="108"/>
      <c r="C17" s="108"/>
      <c r="D17" s="109"/>
      <c r="E17" s="110"/>
      <c r="F17" s="109"/>
      <c r="G17" s="108"/>
      <c r="H17" s="109"/>
    </row>
    <row r="18" spans="1:8" ht="15">
      <c r="A18" s="1"/>
      <c r="B18" s="33" t="s">
        <v>325</v>
      </c>
      <c r="C18" s="33"/>
      <c r="D18" s="19"/>
      <c r="E18" s="19"/>
      <c r="F18" s="19"/>
      <c r="G18" s="34"/>
      <c r="H18" s="19"/>
    </row>
    <row r="19" spans="1:8" ht="15">
      <c r="A19" s="1"/>
      <c r="B19" s="105" t="s">
        <v>381</v>
      </c>
      <c r="C19" s="217">
        <f>ROUND(((TPS_monitor_running_power*TPS_Client_On_Hours_Per_Year)*TPS_num_clients)/1000,0)</f>
        <v>550760</v>
      </c>
      <c r="D19" s="217">
        <f>ROUND(((TMR_monitor_running_power*TMR_Client_On_Hours_Per_Year)*TMR_num_clients)/1000,0)</f>
        <v>550760</v>
      </c>
      <c r="E19" s="218">
        <f>ROUND(((VHD_monitor_running_power*VHD_Client_On_Hours_Per_Year)*VHD_num_clients)/1000,0)</f>
        <v>550760</v>
      </c>
      <c r="F19" s="217">
        <f>ROUND(((OSS_monitor_running_power*OSS_Client_On_Hours_Per_Year)*OSS_num_clients)/1000,0)</f>
        <v>550760</v>
      </c>
      <c r="G19" s="217">
        <f>ROUND(((BPC_monitor_running_power*BPC_Client_On_Hours_Per_Year)*BPC_num_clients)/1000,0)</f>
        <v>550760</v>
      </c>
      <c r="H19" s="217">
        <f>ROUND(((AS_monitor_running_power*AS_Client_On_Hours_Per_Year)*AS_num_clients)/1000,0)</f>
        <v>550760</v>
      </c>
    </row>
    <row r="20" spans="1:8" ht="15" customHeight="1">
      <c r="A20" s="1"/>
      <c r="B20" s="105" t="s">
        <v>382</v>
      </c>
      <c r="C20" s="217">
        <f>ROUND(((TPS_monitor_standby_power*TPS_Client_Standby_Hours_Per_Year)*TPS_num_clients)/1000,0)</f>
        <v>27440</v>
      </c>
      <c r="D20" s="217">
        <f>ROUND(((TMR_monitor_standby_power*TMR_Client_Standby_Hours_Per_Year)*TMR_num_clients)/1000,0)</f>
        <v>27440</v>
      </c>
      <c r="E20" s="218">
        <f>ROUND(((VHD_monitor_standby_power*VHD_Client_Standby_Hours_Per_Year)*VHD_num_clients)/1000,0)</f>
        <v>27440</v>
      </c>
      <c r="F20" s="217">
        <f>ROUND(((OSS_monitor_standby_power*OSS_Client_Standby_Hours_Per_Year)*OSS_num_clients)/1000,0)</f>
        <v>27440</v>
      </c>
      <c r="G20" s="217">
        <f>ROUND(((BPC_monitor_standby_power*BPC_Client_Standby_Hours_Per_Year)*BPC_num_clients)/1000,0)</f>
        <v>27440</v>
      </c>
      <c r="H20" s="217">
        <f>ROUND(((AS_monitor_standby_power*AS_Client_Standby_Hours_Per_Year)*AS_num_clients)/1000,0)</f>
        <v>27440</v>
      </c>
    </row>
    <row r="21" spans="1:8" ht="15" customHeight="1">
      <c r="A21" s="1"/>
      <c r="B21" s="105" t="s">
        <v>383</v>
      </c>
      <c r="C21" s="205">
        <f>ROUND((TPS_monitor_off_power*TPS_Client_Off_Hours_Per_Year*TPS_num_clients)/1000,0)</f>
        <v>0</v>
      </c>
      <c r="D21" s="205">
        <f>ROUND((TMR_monitor_off_power*TMR_Client_Off_Hours_Per_Year*TMR_num_clients)/1000,0)</f>
        <v>0</v>
      </c>
      <c r="E21" s="210">
        <f>ROUND((VHD_monitor_off_power*VHD_Client_Off_Hours_Per_Year*VHD_num_clients)/1000,0)</f>
        <v>0</v>
      </c>
      <c r="F21" s="205">
        <f>ROUND((OSS_monitor_off_power*OSS_Client_Off_Hours_Per_Year*OSS_num_clients)/1000,0)</f>
        <v>0</v>
      </c>
      <c r="G21" s="205">
        <f>ROUND((BPC_monitor_off_power*BPC_Client_Off_Hours_Per_Year*BPC_num_clients)/1000,0)</f>
        <v>0</v>
      </c>
      <c r="H21" s="205">
        <f>ROUND((AS_monitor_off_power*AS_Client_Off_Hours_Per_Year*AS_num_clients)/1000,0)</f>
        <v>0</v>
      </c>
    </row>
    <row r="22" spans="1:8" ht="15">
      <c r="A22" s="1"/>
      <c r="B22" s="301" t="s">
        <v>384</v>
      </c>
      <c r="C22" s="300">
        <f aca="true" t="shared" si="4" ref="C22:H22">SUM(C19:C21)</f>
        <v>578200</v>
      </c>
      <c r="D22" s="300">
        <f t="shared" si="4"/>
        <v>578200</v>
      </c>
      <c r="E22" s="300">
        <f t="shared" si="4"/>
        <v>578200</v>
      </c>
      <c r="F22" s="300">
        <f t="shared" si="4"/>
        <v>578200</v>
      </c>
      <c r="G22" s="300">
        <f t="shared" si="4"/>
        <v>578200</v>
      </c>
      <c r="H22" s="300">
        <f t="shared" si="4"/>
        <v>578200</v>
      </c>
    </row>
    <row r="23" spans="1:8" ht="15">
      <c r="A23" s="1"/>
      <c r="B23" s="301" t="s">
        <v>327</v>
      </c>
      <c r="C23" s="304">
        <f>TPS_server_cooling</f>
        <v>1</v>
      </c>
      <c r="D23" s="304">
        <f>TMR_server_cooling</f>
        <v>1</v>
      </c>
      <c r="E23" s="304">
        <f>VHD_server_cooling</f>
        <v>1</v>
      </c>
      <c r="F23" s="304">
        <f>OSS_server_cooling</f>
        <v>1</v>
      </c>
      <c r="G23" s="304">
        <f>BPC_server_cooling</f>
        <v>1</v>
      </c>
      <c r="H23" s="304">
        <f>AS_server_cooling</f>
        <v>1</v>
      </c>
    </row>
    <row r="24" spans="1:8" ht="15">
      <c r="A24" s="1"/>
      <c r="B24" s="300" t="s">
        <v>385</v>
      </c>
      <c r="C24" s="217">
        <f>ROUND(C22*TPS_server_cooling,0)</f>
        <v>578200</v>
      </c>
      <c r="D24" s="217">
        <f>ROUND(D22*TMR_server_cooling,0)</f>
        <v>578200</v>
      </c>
      <c r="E24" s="218">
        <f>ROUND(E22*VHD_server_cooling,0)</f>
        <v>578200</v>
      </c>
      <c r="F24" s="217">
        <f>ROUND(F22*OSS_server_cooling,0)</f>
        <v>578200</v>
      </c>
      <c r="G24" s="217">
        <f>ROUND(G22*BPC_server_cooling,0)</f>
        <v>578200</v>
      </c>
      <c r="H24" s="217">
        <f>ROUND(H22*AS_server_cooling,0)</f>
        <v>578200</v>
      </c>
    </row>
    <row r="25" spans="1:8" ht="15">
      <c r="A25" s="1"/>
      <c r="B25" s="107" t="s">
        <v>386</v>
      </c>
      <c r="C25" s="211">
        <f aca="true" t="shared" si="5" ref="C25:H25">SUM(C22:C24)</f>
        <v>1156401</v>
      </c>
      <c r="D25" s="211">
        <f t="shared" si="5"/>
        <v>1156401</v>
      </c>
      <c r="E25" s="211">
        <f t="shared" si="5"/>
        <v>1156401</v>
      </c>
      <c r="F25" s="211">
        <f t="shared" si="5"/>
        <v>1156401</v>
      </c>
      <c r="G25" s="211">
        <f t="shared" si="5"/>
        <v>1156401</v>
      </c>
      <c r="H25" s="211">
        <f t="shared" si="5"/>
        <v>1156401</v>
      </c>
    </row>
    <row r="26" spans="1:22" ht="15">
      <c r="A26" s="1"/>
      <c r="B26" s="327" t="s">
        <v>380</v>
      </c>
      <c r="C26" s="329">
        <f>TPS_client_power_cost</f>
        <v>0.08</v>
      </c>
      <c r="D26" s="329">
        <f>TMR_client_power_cost</f>
        <v>0.08</v>
      </c>
      <c r="E26" s="329">
        <f>VHD_client_power_cost</f>
        <v>0.08</v>
      </c>
      <c r="F26" s="329">
        <f>OSS_client_power_cost</f>
        <v>0.08</v>
      </c>
      <c r="G26" s="329">
        <f>BPC_client_power_cost</f>
        <v>0.08</v>
      </c>
      <c r="H26" s="329">
        <f>AS_client_power_cost</f>
        <v>0.08</v>
      </c>
      <c r="J26" s="267"/>
      <c r="K26" s="267"/>
      <c r="L26" s="267"/>
      <c r="M26" s="267"/>
      <c r="N26" s="267"/>
      <c r="O26" s="267"/>
      <c r="P26" s="267"/>
      <c r="Q26" s="267"/>
      <c r="R26" s="267"/>
      <c r="S26" s="267"/>
      <c r="T26" s="267"/>
      <c r="U26" s="267"/>
      <c r="V26" s="267"/>
    </row>
    <row r="27" spans="1:22" ht="15">
      <c r="A27" s="1"/>
      <c r="B27" s="107" t="s">
        <v>87</v>
      </c>
      <c r="C27" s="212">
        <f>ROUND(C25*TPS_client_power_cost,0)</f>
        <v>92512</v>
      </c>
      <c r="D27" s="212">
        <f>ROUND(D25*TMR_client_power_cost,0)</f>
        <v>92512</v>
      </c>
      <c r="E27" s="213">
        <f>ROUND(E25*VHD_client_power_cost,0)</f>
        <v>92512</v>
      </c>
      <c r="F27" s="212">
        <f>ROUND(F25*OSS_client_power_cost,0)</f>
        <v>92512</v>
      </c>
      <c r="G27" s="212">
        <f>ROUND(G25*BPC_client_power_cost,0)</f>
        <v>92512</v>
      </c>
      <c r="H27" s="212">
        <f>ROUND(H25*AS_client_power_cost,0)</f>
        <v>92512</v>
      </c>
      <c r="J27" s="267"/>
      <c r="K27" s="267"/>
      <c r="L27" s="267"/>
      <c r="M27" s="267"/>
      <c r="N27" s="267"/>
      <c r="O27" s="267"/>
      <c r="P27" s="267"/>
      <c r="Q27" s="267"/>
      <c r="R27" s="267"/>
      <c r="S27" s="267"/>
      <c r="T27" s="267"/>
      <c r="U27" s="267"/>
      <c r="V27" s="267"/>
    </row>
    <row r="28" spans="1:22" ht="15">
      <c r="A28" s="1"/>
      <c r="B28" s="111"/>
      <c r="C28" s="112"/>
      <c r="D28" s="112"/>
      <c r="E28" s="113"/>
      <c r="F28" s="114"/>
      <c r="G28" s="115"/>
      <c r="H28" s="114"/>
      <c r="I28" s="267"/>
      <c r="K28" s="267"/>
      <c r="L28" s="267"/>
      <c r="M28" s="267"/>
      <c r="N28" s="267"/>
      <c r="O28" s="267"/>
      <c r="P28" s="267"/>
      <c r="Q28" s="267"/>
      <c r="R28" s="267"/>
      <c r="S28" s="267"/>
      <c r="T28" s="267"/>
      <c r="U28" s="267"/>
      <c r="V28" s="267"/>
    </row>
    <row r="29" spans="1:22" ht="15">
      <c r="A29" s="1"/>
      <c r="B29" s="33" t="s">
        <v>324</v>
      </c>
      <c r="C29" s="33"/>
      <c r="D29" s="19"/>
      <c r="E29" s="19"/>
      <c r="F29" s="19"/>
      <c r="G29" s="34"/>
      <c r="H29" s="19"/>
      <c r="J29" s="267"/>
      <c r="K29" s="267"/>
      <c r="L29" s="267"/>
      <c r="M29" s="267"/>
      <c r="N29" s="267"/>
      <c r="O29" s="267"/>
      <c r="P29" s="267"/>
      <c r="Q29" s="267"/>
      <c r="R29" s="267"/>
      <c r="S29" s="267"/>
      <c r="T29" s="267"/>
      <c r="U29" s="267"/>
      <c r="V29" s="267"/>
    </row>
    <row r="30" spans="1:22" ht="15">
      <c r="A30" s="1"/>
      <c r="B30" s="165" t="s">
        <v>387</v>
      </c>
      <c r="C30" s="116" t="s">
        <v>54</v>
      </c>
      <c r="D30" s="116" t="s">
        <v>54</v>
      </c>
      <c r="E30" s="116" t="s">
        <v>54</v>
      </c>
      <c r="F30" s="116" t="s">
        <v>54</v>
      </c>
      <c r="G30" s="217">
        <f>ROUND(((BPC_blade_running_power*BPC_Blade_On_Hours_Per_Year)*BPC_num_blades)/1000,0)</f>
        <v>887680</v>
      </c>
      <c r="H30" s="116" t="s">
        <v>54</v>
      </c>
      <c r="J30" s="267"/>
      <c r="K30" s="267"/>
      <c r="L30" s="267"/>
      <c r="M30" s="267"/>
      <c r="N30" s="267"/>
      <c r="O30" s="267"/>
      <c r="P30" s="267"/>
      <c r="Q30" s="267"/>
      <c r="R30" s="267"/>
      <c r="S30" s="267"/>
      <c r="T30" s="267"/>
      <c r="U30" s="267"/>
      <c r="V30" s="267"/>
    </row>
    <row r="31" spans="1:22" ht="15">
      <c r="A31" s="1"/>
      <c r="B31" s="165" t="s">
        <v>388</v>
      </c>
      <c r="C31" s="116" t="s">
        <v>54</v>
      </c>
      <c r="D31" s="116" t="s">
        <v>54</v>
      </c>
      <c r="E31" s="116" t="s">
        <v>54</v>
      </c>
      <c r="F31" s="116" t="s">
        <v>54</v>
      </c>
      <c r="G31" s="217">
        <f>ROUND((BPC_blade_standby_power*BPC_blade_standby_hours_per_Year*BPC_num_blades)/1000,0)</f>
        <v>1663290</v>
      </c>
      <c r="H31" s="116" t="s">
        <v>54</v>
      </c>
      <c r="J31" s="267"/>
      <c r="K31" s="267"/>
      <c r="L31" s="267"/>
      <c r="M31" s="267"/>
      <c r="N31" s="267"/>
      <c r="O31" s="267"/>
      <c r="P31" s="267"/>
      <c r="Q31" s="267"/>
      <c r="R31" s="267"/>
      <c r="S31" s="267"/>
      <c r="T31" s="267"/>
      <c r="U31" s="267"/>
      <c r="V31" s="267"/>
    </row>
    <row r="32" spans="1:22" ht="15">
      <c r="A32" s="1"/>
      <c r="B32" s="165" t="s">
        <v>389</v>
      </c>
      <c r="C32" s="116" t="s">
        <v>54</v>
      </c>
      <c r="D32" s="116" t="s">
        <v>54</v>
      </c>
      <c r="E32" s="116" t="s">
        <v>54</v>
      </c>
      <c r="F32" s="116" t="s">
        <v>54</v>
      </c>
      <c r="G32" s="106">
        <f>ROUND((BPC_num_blades*BPC_blade_off_power*BPC_blade_off_hours_per_year)/1000,0)</f>
        <v>0</v>
      </c>
      <c r="H32" s="116" t="s">
        <v>54</v>
      </c>
      <c r="J32" s="267"/>
      <c r="K32" s="267"/>
      <c r="L32" s="267"/>
      <c r="M32" s="267"/>
      <c r="N32" s="267"/>
      <c r="O32" s="267"/>
      <c r="P32" s="267"/>
      <c r="Q32" s="267"/>
      <c r="R32" s="267"/>
      <c r="S32" s="267"/>
      <c r="T32" s="267"/>
      <c r="U32" s="267"/>
      <c r="V32" s="267"/>
    </row>
    <row r="33" spans="1:22" ht="15">
      <c r="A33" s="1"/>
      <c r="B33" s="299" t="s">
        <v>390</v>
      </c>
      <c r="C33" s="116" t="s">
        <v>54</v>
      </c>
      <c r="D33" s="116" t="s">
        <v>54</v>
      </c>
      <c r="E33" s="116" t="s">
        <v>54</v>
      </c>
      <c r="F33" s="116" t="s">
        <v>54</v>
      </c>
      <c r="G33" s="298">
        <f>SUM(G30:G32)</f>
        <v>2550970</v>
      </c>
      <c r="H33" s="116" t="s">
        <v>54</v>
      </c>
      <c r="J33" s="267"/>
      <c r="K33" s="267"/>
      <c r="L33" s="267"/>
      <c r="M33" s="267"/>
      <c r="N33" s="267"/>
      <c r="O33" s="267"/>
      <c r="P33" s="267"/>
      <c r="Q33" s="267"/>
      <c r="R33" s="267"/>
      <c r="S33" s="267"/>
      <c r="T33" s="267"/>
      <c r="U33" s="267"/>
      <c r="V33" s="267"/>
    </row>
    <row r="34" spans="1:22" ht="15">
      <c r="A34" s="1"/>
      <c r="B34" s="301" t="s">
        <v>327</v>
      </c>
      <c r="C34" s="304">
        <f>TPS_server_cooling</f>
        <v>1</v>
      </c>
      <c r="D34" s="304">
        <f>TMR_server_cooling</f>
        <v>1</v>
      </c>
      <c r="E34" s="304">
        <f>VHD_server_cooling</f>
        <v>1</v>
      </c>
      <c r="F34" s="304">
        <f>OSS_server_cooling</f>
        <v>1</v>
      </c>
      <c r="G34" s="304">
        <f>BPC_server_cooling</f>
        <v>1</v>
      </c>
      <c r="H34" s="304">
        <f>AS_server_cooling</f>
        <v>1</v>
      </c>
      <c r="J34" s="267"/>
      <c r="K34" s="267"/>
      <c r="L34" s="267"/>
      <c r="M34" s="267"/>
      <c r="N34" s="267"/>
      <c r="O34" s="267"/>
      <c r="P34" s="267"/>
      <c r="Q34" s="267"/>
      <c r="R34" s="267"/>
      <c r="S34" s="267"/>
      <c r="T34" s="267"/>
      <c r="U34" s="267"/>
      <c r="V34" s="267"/>
    </row>
    <row r="35" spans="1:8" ht="15">
      <c r="A35" s="1"/>
      <c r="B35" s="346" t="s">
        <v>391</v>
      </c>
      <c r="C35" s="347" t="s">
        <v>54</v>
      </c>
      <c r="D35" s="347" t="s">
        <v>54</v>
      </c>
      <c r="E35" s="347" t="s">
        <v>54</v>
      </c>
      <c r="F35" s="347" t="s">
        <v>54</v>
      </c>
      <c r="G35" s="341">
        <f>ROUND(G33*BPC_server_cooling,0)</f>
        <v>2550970</v>
      </c>
      <c r="H35" s="347" t="s">
        <v>54</v>
      </c>
    </row>
    <row r="36" spans="1:8" ht="15">
      <c r="A36" s="1"/>
      <c r="B36" s="348" t="s">
        <v>392</v>
      </c>
      <c r="C36" s="347" t="s">
        <v>54</v>
      </c>
      <c r="D36" s="347" t="s">
        <v>54</v>
      </c>
      <c r="E36" s="347" t="s">
        <v>54</v>
      </c>
      <c r="F36" s="347" t="s">
        <v>54</v>
      </c>
      <c r="G36" s="349">
        <f>ROUND(G33+G35,0)</f>
        <v>5101940</v>
      </c>
      <c r="H36" s="347" t="s">
        <v>54</v>
      </c>
    </row>
    <row r="37" spans="1:8" ht="15">
      <c r="A37" s="1"/>
      <c r="B37" s="327" t="s">
        <v>380</v>
      </c>
      <c r="C37" s="329">
        <f>TPS_client_power_cost</f>
        <v>0.08</v>
      </c>
      <c r="D37" s="329">
        <f>TMR_client_power_cost</f>
        <v>0.08</v>
      </c>
      <c r="E37" s="329">
        <f>VHD_client_power_cost</f>
        <v>0.08</v>
      </c>
      <c r="F37" s="329">
        <f>OSS_client_power_cost</f>
        <v>0.08</v>
      </c>
      <c r="G37" s="329">
        <f>BPC_client_power_cost</f>
        <v>0.08</v>
      </c>
      <c r="H37" s="329">
        <f>AS_client_power_cost</f>
        <v>0.08</v>
      </c>
    </row>
    <row r="38" spans="1:8" ht="15">
      <c r="A38" s="1"/>
      <c r="B38" s="348" t="s">
        <v>144</v>
      </c>
      <c r="C38" s="347" t="s">
        <v>54</v>
      </c>
      <c r="D38" s="347" t="s">
        <v>54</v>
      </c>
      <c r="E38" s="347" t="s">
        <v>54</v>
      </c>
      <c r="F38" s="347" t="s">
        <v>54</v>
      </c>
      <c r="G38" s="344">
        <f>ROUND(G36*BPC_client_power_cost,0)</f>
        <v>408155</v>
      </c>
      <c r="H38" s="347" t="s">
        <v>54</v>
      </c>
    </row>
    <row r="39" spans="1:8" ht="15">
      <c r="A39" s="1"/>
      <c r="C39" s="59"/>
      <c r="D39" s="60"/>
      <c r="E39" s="117"/>
      <c r="F39" s="60"/>
      <c r="G39" s="1"/>
      <c r="H39" s="60"/>
    </row>
    <row r="40" spans="1:9" ht="15">
      <c r="A40" s="1"/>
      <c r="B40" s="33" t="s">
        <v>323</v>
      </c>
      <c r="C40" s="33"/>
      <c r="D40" s="19"/>
      <c r="E40" s="19"/>
      <c r="F40" s="19"/>
      <c r="G40" s="34"/>
      <c r="H40" s="19"/>
      <c r="I40" s="120"/>
    </row>
    <row r="41" spans="1:8" ht="26.25">
      <c r="A41" s="1"/>
      <c r="B41" s="70" t="s">
        <v>76</v>
      </c>
      <c r="C41" s="70">
        <f>TPS_number_of_access_infrastructure_servers+TPS_number_of_management_servers</f>
        <v>196</v>
      </c>
      <c r="D41" s="70">
        <f>TMR_number_of_access_infrastructure_servers+TMR_number_of_management_servers</f>
        <v>13</v>
      </c>
      <c r="E41" s="70">
        <f>VHD_number_of_access_infrastructure_servers+VHD_number_of_management_servers</f>
        <v>298</v>
      </c>
      <c r="F41" s="70">
        <f>OSS_number_of_access_infrastructure_servers+OSS_number_of_management_servers</f>
        <v>91</v>
      </c>
      <c r="G41" s="118">
        <f>BPC_number_of_access_infrastructure_servers+BPC_number_of_management_servers</f>
        <v>27</v>
      </c>
      <c r="H41" s="70">
        <f>AS_number_of_access_infrastructure_servers+AS_number_of_management_servers</f>
        <v>51</v>
      </c>
    </row>
    <row r="42" spans="1:9" s="121" customFormat="1" ht="15">
      <c r="A42" s="1"/>
      <c r="B42" s="303" t="s">
        <v>393</v>
      </c>
      <c r="C42" s="296">
        <f>ROUND(TPS_server_running_power*TPS_estimated_servers*24*365/1000,0)</f>
        <v>700520</v>
      </c>
      <c r="D42" s="296">
        <f>ROUND(TMR_server_running_power*TMR_estimated_servers*24*365/1000,0)</f>
        <v>46463</v>
      </c>
      <c r="E42" s="297">
        <f>ROUND(VHD_server_running_power*VHD_estimated_servers*24*365/1000,0)</f>
        <v>1065076</v>
      </c>
      <c r="F42" s="296">
        <f>ROUND(OSS_server_running_power*OSS_estimated_servers*24*365/1000,0)</f>
        <v>325241</v>
      </c>
      <c r="G42" s="296">
        <f>ROUND(BPC_server_running_power*BPC_estimated_servers*24*365/1000,0)</f>
        <v>96500</v>
      </c>
      <c r="H42" s="296">
        <f>ROUND(AS_server_running_power*AS_estimated_servers*24*365/1000,0)</f>
        <v>182278</v>
      </c>
      <c r="I42" s="120"/>
    </row>
    <row r="43" spans="1:9" s="121" customFormat="1" ht="15">
      <c r="A43" s="1"/>
      <c r="B43" s="303" t="s">
        <v>327</v>
      </c>
      <c r="C43" s="326">
        <f>TPS_server_cooling</f>
        <v>1</v>
      </c>
      <c r="D43" s="326">
        <f>TMR_server_cooling</f>
        <v>1</v>
      </c>
      <c r="E43" s="326">
        <f>VHD_server_cooling</f>
        <v>1</v>
      </c>
      <c r="F43" s="326">
        <f>OSS_server_cooling</f>
        <v>1</v>
      </c>
      <c r="G43" s="326">
        <f>BPC_server_cooling</f>
        <v>1</v>
      </c>
      <c r="H43" s="326">
        <f>AS_server_cooling</f>
        <v>1</v>
      </c>
      <c r="I43" s="120"/>
    </row>
    <row r="44" spans="1:9" s="121" customFormat="1" ht="15">
      <c r="A44" s="119"/>
      <c r="B44" s="303" t="s">
        <v>394</v>
      </c>
      <c r="C44" s="341">
        <f>ROUND(C42*TPS_server_cooling,0)</f>
        <v>700520</v>
      </c>
      <c r="D44" s="341">
        <f>ROUND(D42*TMR_server_cooling,0)</f>
        <v>46463</v>
      </c>
      <c r="E44" s="342">
        <f>ROUND(E42*VHD_server_cooling,0)</f>
        <v>1065076</v>
      </c>
      <c r="F44" s="341">
        <f>ROUND(F42*OSS_server_cooling,0)</f>
        <v>325241</v>
      </c>
      <c r="G44" s="341">
        <f>ROUND(G42*BPC_server_cooling,0)</f>
        <v>96500</v>
      </c>
      <c r="H44" s="341">
        <f>ROUND(H42*AS_server_cooling,0)</f>
        <v>182278</v>
      </c>
      <c r="I44" s="120"/>
    </row>
    <row r="45" spans="1:9" s="121" customFormat="1" ht="15">
      <c r="A45" s="119"/>
      <c r="B45" s="319" t="s">
        <v>395</v>
      </c>
      <c r="C45" s="343">
        <f aca="true" t="shared" si="6" ref="C45:H45">C42+C44</f>
        <v>1401040</v>
      </c>
      <c r="D45" s="343">
        <f t="shared" si="6"/>
        <v>92926</v>
      </c>
      <c r="E45" s="343">
        <f t="shared" si="6"/>
        <v>2130152</v>
      </c>
      <c r="F45" s="343">
        <f t="shared" si="6"/>
        <v>650482</v>
      </c>
      <c r="G45" s="343">
        <f t="shared" si="6"/>
        <v>193000</v>
      </c>
      <c r="H45" s="343">
        <f t="shared" si="6"/>
        <v>364556</v>
      </c>
      <c r="I45" s="120"/>
    </row>
    <row r="46" spans="1:9" s="267" customFormat="1" ht="15">
      <c r="A46" s="273"/>
      <c r="B46" s="327" t="s">
        <v>380</v>
      </c>
      <c r="C46" s="329">
        <f>TPS_client_power_cost</f>
        <v>0.08</v>
      </c>
      <c r="D46" s="329">
        <f>TMR_client_power_cost</f>
        <v>0.08</v>
      </c>
      <c r="E46" s="329">
        <f>VHD_client_power_cost</f>
        <v>0.08</v>
      </c>
      <c r="F46" s="329">
        <f>OSS_client_power_cost</f>
        <v>0.08</v>
      </c>
      <c r="G46" s="329">
        <f>BPC_client_power_cost</f>
        <v>0.08</v>
      </c>
      <c r="H46" s="329">
        <f>AS_client_power_cost</f>
        <v>0.08</v>
      </c>
      <c r="I46" s="268"/>
    </row>
    <row r="47" spans="1:9" s="121" customFormat="1" ht="15">
      <c r="A47" s="119"/>
      <c r="B47" s="319" t="s">
        <v>322</v>
      </c>
      <c r="C47" s="344">
        <f>ROUND(C45*TPS_client_power_cost,0)</f>
        <v>112083</v>
      </c>
      <c r="D47" s="344">
        <f>ROUND(D45*TMR_client_power_cost,0)</f>
        <v>7434</v>
      </c>
      <c r="E47" s="345">
        <f>ROUND(E45*VHD_client_power_cost,0)</f>
        <v>170412</v>
      </c>
      <c r="F47" s="344">
        <f>ROUND(F45*OSS_client_power_cost,0)</f>
        <v>52039</v>
      </c>
      <c r="G47" s="344">
        <f>ROUND(G45*BPC_client_power_cost,0)</f>
        <v>15440</v>
      </c>
      <c r="H47" s="344">
        <f>ROUND(H45*AS_client_power_cost,0)</f>
        <v>29164</v>
      </c>
      <c r="I47" s="120"/>
    </row>
    <row r="48" spans="1:8" ht="15">
      <c r="A48" s="119"/>
      <c r="B48" s="59"/>
      <c r="C48" s="214" t="s">
        <v>187</v>
      </c>
      <c r="D48" s="215" t="s">
        <v>187</v>
      </c>
      <c r="E48" s="216" t="s">
        <v>187</v>
      </c>
      <c r="F48" s="215" t="s">
        <v>187</v>
      </c>
      <c r="G48" s="214" t="s">
        <v>187</v>
      </c>
      <c r="H48" s="215" t="s">
        <v>187</v>
      </c>
    </row>
    <row r="49" spans="1:8" ht="15">
      <c r="A49" s="1"/>
      <c r="B49" s="33" t="s">
        <v>206</v>
      </c>
      <c r="C49" s="33"/>
      <c r="D49" s="19"/>
      <c r="E49" s="19"/>
      <c r="F49" s="19"/>
      <c r="G49" s="34"/>
      <c r="H49" s="19"/>
    </row>
    <row r="50" spans="1:8" ht="26.25">
      <c r="A50" s="1"/>
      <c r="B50" s="122" t="s">
        <v>396</v>
      </c>
      <c r="C50" s="217">
        <f>C11+C22+C42</f>
        <v>1586440</v>
      </c>
      <c r="D50" s="217">
        <f>D11+D22+D42</f>
        <v>2518023</v>
      </c>
      <c r="E50" s="218">
        <f>E11+E22+E42</f>
        <v>1950996</v>
      </c>
      <c r="F50" s="217">
        <f>F11+F22+F42</f>
        <v>2796801</v>
      </c>
      <c r="G50" s="217">
        <f>G11+G22+G33+G42</f>
        <v>3533390</v>
      </c>
      <c r="H50" s="217">
        <f>H11+H22+H42</f>
        <v>2653838</v>
      </c>
    </row>
    <row r="51" spans="1:8" ht="15">
      <c r="A51" s="1"/>
      <c r="B51" s="301" t="s">
        <v>327</v>
      </c>
      <c r="C51" s="304">
        <f>TPS_server_cooling</f>
        <v>1</v>
      </c>
      <c r="D51" s="304">
        <f>TMR_server_cooling</f>
        <v>1</v>
      </c>
      <c r="E51" s="304">
        <f>VHD_server_cooling</f>
        <v>1</v>
      </c>
      <c r="F51" s="304">
        <f>OSS_server_cooling</f>
        <v>1</v>
      </c>
      <c r="G51" s="304">
        <f>BPC_server_cooling</f>
        <v>1</v>
      </c>
      <c r="H51" s="304">
        <f>AS_server_cooling</f>
        <v>1</v>
      </c>
    </row>
    <row r="52" spans="1:8" ht="15">
      <c r="A52" s="1"/>
      <c r="B52" s="123" t="s">
        <v>397</v>
      </c>
      <c r="C52" s="217">
        <f>ROUND(C50*TPS_server_cooling,0)</f>
        <v>1586440</v>
      </c>
      <c r="D52" s="217">
        <f>ROUND(D50*TMR_server_cooling,0)</f>
        <v>2518023</v>
      </c>
      <c r="E52" s="218">
        <f>ROUND(E50*VHD_server_cooling,0)</f>
        <v>1950996</v>
      </c>
      <c r="F52" s="217">
        <f>ROUND(F50*OSS_server_cooling,0)</f>
        <v>2796801</v>
      </c>
      <c r="G52" s="217">
        <f>ROUND(G50*BPC_server_cooling,0)</f>
        <v>3533390</v>
      </c>
      <c r="H52" s="217">
        <f>ROUND(H50*AS_server_cooling,0)</f>
        <v>2653838</v>
      </c>
    </row>
    <row r="53" spans="1:8" ht="15">
      <c r="A53" s="1"/>
      <c r="B53" s="124" t="s">
        <v>398</v>
      </c>
      <c r="C53" s="211">
        <f aca="true" t="shared" si="7" ref="C53:H53">C50+C52</f>
        <v>3172880</v>
      </c>
      <c r="D53" s="211">
        <f t="shared" si="7"/>
        <v>5036046</v>
      </c>
      <c r="E53" s="219">
        <f t="shared" si="7"/>
        <v>3901992</v>
      </c>
      <c r="F53" s="211">
        <f t="shared" si="7"/>
        <v>5593602</v>
      </c>
      <c r="G53" s="211">
        <f t="shared" si="7"/>
        <v>7066780</v>
      </c>
      <c r="H53" s="211">
        <f t="shared" si="7"/>
        <v>5307676</v>
      </c>
    </row>
    <row r="54" spans="1:9" s="267" customFormat="1" ht="15">
      <c r="A54" s="273"/>
      <c r="B54" s="327" t="s">
        <v>380</v>
      </c>
      <c r="C54" s="329">
        <f>TPS_client_power_cost</f>
        <v>0.08</v>
      </c>
      <c r="D54" s="329">
        <f>TMR_client_power_cost</f>
        <v>0.08</v>
      </c>
      <c r="E54" s="329">
        <f>VHD_client_power_cost</f>
        <v>0.08</v>
      </c>
      <c r="F54" s="329">
        <f>OSS_client_power_cost</f>
        <v>0.08</v>
      </c>
      <c r="G54" s="329">
        <f>BPC_client_power_cost</f>
        <v>0.08</v>
      </c>
      <c r="H54" s="329">
        <f>AS_client_power_cost</f>
        <v>0.08</v>
      </c>
      <c r="I54" s="268"/>
    </row>
    <row r="55" spans="1:8" ht="15">
      <c r="A55" s="1"/>
      <c r="B55" s="107" t="s">
        <v>58</v>
      </c>
      <c r="C55" s="212">
        <f>ROUND(C53*TPS_client_power_cost,0)</f>
        <v>253830</v>
      </c>
      <c r="D55" s="212">
        <f>ROUND(D53*TMR_client_power_cost,0)</f>
        <v>402884</v>
      </c>
      <c r="E55" s="213">
        <f>ROUND(E53*VHD_client_power_cost,0)</f>
        <v>312159</v>
      </c>
      <c r="F55" s="212">
        <f>ROUND(F53*OSS_client_power_cost,0)</f>
        <v>447488</v>
      </c>
      <c r="G55" s="212">
        <f>ROUND(G53*BPC_client_power_cost,0)</f>
        <v>565342</v>
      </c>
      <c r="H55" s="212">
        <f>ROUND(H53*AS_client_power_cost,0)</f>
        <v>424614</v>
      </c>
    </row>
    <row r="56" spans="1:8" ht="15">
      <c r="A56" s="1"/>
      <c r="B56" s="59"/>
      <c r="C56" s="302"/>
      <c r="D56" s="302"/>
      <c r="E56" s="302"/>
      <c r="F56" s="302"/>
      <c r="G56" s="302"/>
      <c r="H56" s="302"/>
    </row>
    <row r="57" spans="1:8" ht="15">
      <c r="A57" s="1"/>
      <c r="C57" s="125" t="s">
        <v>187</v>
      </c>
      <c r="E57" s="4" t="s">
        <v>187</v>
      </c>
      <c r="F57" s="4" t="s">
        <v>187</v>
      </c>
      <c r="H57" s="4" t="s">
        <v>187</v>
      </c>
    </row>
    <row r="58" ht="15">
      <c r="C58" s="125"/>
    </row>
    <row r="59" ht="15">
      <c r="N59" s="290"/>
    </row>
    <row r="65" ht="15">
      <c r="G65" s="1"/>
    </row>
    <row r="66" ht="15">
      <c r="A66" s="1"/>
    </row>
    <row r="67" ht="15">
      <c r="A67" s="1"/>
    </row>
    <row r="68" ht="15">
      <c r="A68" s="1"/>
    </row>
    <row r="69" ht="15">
      <c r="A69" s="1"/>
    </row>
    <row r="70" ht="15">
      <c r="A70" s="1"/>
    </row>
    <row r="71" ht="15">
      <c r="A71" s="1"/>
    </row>
    <row r="72" ht="15">
      <c r="A72" s="1"/>
    </row>
    <row r="73" ht="15">
      <c r="A73" s="1"/>
    </row>
    <row r="74" ht="15">
      <c r="A74" s="1"/>
    </row>
    <row r="75" ht="15">
      <c r="A75" s="1"/>
    </row>
    <row r="76" ht="15">
      <c r="A76" s="1"/>
    </row>
    <row r="77" ht="15">
      <c r="A77" s="1"/>
    </row>
    <row r="78" ht="15">
      <c r="A78" s="1"/>
    </row>
    <row r="79" ht="15">
      <c r="A79" s="1"/>
    </row>
    <row r="80" ht="15">
      <c r="A80" s="1"/>
    </row>
    <row r="81" ht="15">
      <c r="A81" s="1"/>
    </row>
    <row r="82" ht="15">
      <c r="A82" s="1"/>
    </row>
    <row r="83" ht="15">
      <c r="A83" s="1"/>
    </row>
    <row r="84" spans="1:9" ht="15">
      <c r="A84" s="1"/>
      <c r="B84" s="1"/>
      <c r="C84" s="1"/>
      <c r="D84" s="1"/>
      <c r="E84" s="1"/>
      <c r="F84" s="1"/>
      <c r="H84" s="1"/>
      <c r="I84" s="1"/>
    </row>
    <row r="85" spans="1:9" ht="15">
      <c r="A85" s="1"/>
      <c r="B85" s="1"/>
      <c r="C85" s="1"/>
      <c r="D85" s="1"/>
      <c r="E85" s="1"/>
      <c r="F85" s="1"/>
      <c r="H85" s="1"/>
      <c r="I85" s="1"/>
    </row>
    <row r="86" spans="1:9" ht="15">
      <c r="A86" s="1"/>
      <c r="B86" s="1"/>
      <c r="C86" s="1"/>
      <c r="D86" s="1"/>
      <c r="E86" s="1"/>
      <c r="F86" s="1"/>
      <c r="H86" s="1"/>
      <c r="I86" s="1"/>
    </row>
    <row r="87" spans="1:9" ht="15">
      <c r="A87" s="1"/>
      <c r="B87" s="1"/>
      <c r="C87" s="1"/>
      <c r="D87" s="1"/>
      <c r="E87" s="1"/>
      <c r="F87" s="1"/>
      <c r="H87" s="1"/>
      <c r="I87" s="1"/>
    </row>
    <row r="88" spans="1:9" ht="15">
      <c r="A88" s="1"/>
      <c r="B88" s="1"/>
      <c r="C88" s="1"/>
      <c r="D88" s="1"/>
      <c r="E88" s="1"/>
      <c r="F88" s="1"/>
      <c r="H88" s="1"/>
      <c r="I88" s="1"/>
    </row>
    <row r="89" spans="1:9" ht="15">
      <c r="A89" s="1"/>
      <c r="B89" s="1"/>
      <c r="C89" s="1"/>
      <c r="D89" s="1"/>
      <c r="E89" s="1"/>
      <c r="F89" s="1"/>
      <c r="H89" s="1"/>
      <c r="I89" s="1"/>
    </row>
    <row r="90" spans="1:9" ht="15">
      <c r="A90" s="1"/>
      <c r="B90" s="1"/>
      <c r="C90" s="1"/>
      <c r="D90" s="1"/>
      <c r="E90" s="1"/>
      <c r="F90" s="1"/>
      <c r="H90" s="1"/>
      <c r="I90" s="1"/>
    </row>
    <row r="91" spans="1:9" ht="15">
      <c r="A91" s="1"/>
      <c r="B91" s="1"/>
      <c r="C91" s="1"/>
      <c r="D91" s="1"/>
      <c r="E91" s="1"/>
      <c r="F91" s="1"/>
      <c r="G91" s="1"/>
      <c r="H91" s="1"/>
      <c r="I91" s="1"/>
    </row>
    <row r="92" spans="1:9" ht="15">
      <c r="A92" s="1"/>
      <c r="B92" s="1"/>
      <c r="C92" s="1"/>
      <c r="D92" s="1"/>
      <c r="E92" s="1"/>
      <c r="F92" s="1"/>
      <c r="G92" s="1"/>
      <c r="H92" s="1"/>
      <c r="I92" s="1"/>
    </row>
    <row r="93" spans="1:9" ht="15">
      <c r="A93" s="1"/>
      <c r="B93" s="1"/>
      <c r="C93" s="1"/>
      <c r="D93" s="1"/>
      <c r="E93" s="1"/>
      <c r="F93" s="1"/>
      <c r="G93" s="1"/>
      <c r="H93" s="1"/>
      <c r="I93" s="1"/>
    </row>
    <row r="94" spans="1:9" ht="15">
      <c r="A94" s="1"/>
      <c r="B94" s="1"/>
      <c r="C94" s="1"/>
      <c r="D94" s="1"/>
      <c r="E94" s="1"/>
      <c r="F94" s="1"/>
      <c r="G94" s="1"/>
      <c r="H94" s="1"/>
      <c r="I94" s="1"/>
    </row>
    <row r="95" spans="1:9" ht="15">
      <c r="A95" s="1"/>
      <c r="B95" s="1"/>
      <c r="C95" s="1"/>
      <c r="D95" s="1"/>
      <c r="E95" s="1"/>
      <c r="F95" s="1"/>
      <c r="G95" s="1"/>
      <c r="H95" s="1"/>
      <c r="I95" s="1"/>
    </row>
    <row r="96" spans="1:9" ht="15">
      <c r="A96" s="1"/>
      <c r="B96" s="1"/>
      <c r="C96" s="1"/>
      <c r="D96" s="1"/>
      <c r="E96" s="1"/>
      <c r="F96" s="1"/>
      <c r="G96" s="1"/>
      <c r="H96" s="1"/>
      <c r="I96" s="1"/>
    </row>
    <row r="97" spans="1:9" ht="15">
      <c r="A97" s="1"/>
      <c r="B97" s="1"/>
      <c r="C97" s="1"/>
      <c r="D97" s="1"/>
      <c r="E97" s="1"/>
      <c r="F97" s="1"/>
      <c r="G97" s="1"/>
      <c r="H97" s="1"/>
      <c r="I97" s="1"/>
    </row>
    <row r="98" spans="1:9" ht="15">
      <c r="A98" s="1"/>
      <c r="B98" s="1"/>
      <c r="C98" s="1"/>
      <c r="D98" s="1"/>
      <c r="E98" s="1"/>
      <c r="F98" s="1"/>
      <c r="G98" s="1"/>
      <c r="H98" s="1"/>
      <c r="I98" s="1"/>
    </row>
    <row r="99" spans="1:9" ht="15">
      <c r="A99" s="1"/>
      <c r="B99" s="1"/>
      <c r="C99" s="1"/>
      <c r="D99" s="1"/>
      <c r="E99" s="1"/>
      <c r="F99" s="1"/>
      <c r="G99" s="1"/>
      <c r="H99" s="1"/>
      <c r="I99" s="1"/>
    </row>
    <row r="100" spans="1:9" ht="15">
      <c r="A100" s="1"/>
      <c r="B100" s="1"/>
      <c r="C100" s="1"/>
      <c r="D100" s="1"/>
      <c r="E100" s="1"/>
      <c r="F100" s="1"/>
      <c r="G100" s="1"/>
      <c r="H100" s="1"/>
      <c r="I100" s="1"/>
    </row>
    <row r="101" spans="1:9" ht="15">
      <c r="A101" s="1"/>
      <c r="B101" s="1"/>
      <c r="C101" s="1"/>
      <c r="D101" s="1"/>
      <c r="E101" s="1"/>
      <c r="F101" s="1"/>
      <c r="G101" s="1"/>
      <c r="H101" s="1"/>
      <c r="I101" s="1"/>
    </row>
    <row r="102" spans="1:9" ht="15">
      <c r="A102" s="1"/>
      <c r="B102" s="1"/>
      <c r="C102" s="1"/>
      <c r="D102" s="1"/>
      <c r="E102" s="1"/>
      <c r="F102" s="1"/>
      <c r="G102" s="1"/>
      <c r="H102" s="1"/>
      <c r="I102" s="1"/>
    </row>
    <row r="103" spans="1:9" ht="15">
      <c r="A103" s="1"/>
      <c r="B103" s="1"/>
      <c r="C103" s="1"/>
      <c r="D103" s="1"/>
      <c r="E103" s="1"/>
      <c r="F103" s="1"/>
      <c r="G103" s="1"/>
      <c r="H103" s="1"/>
      <c r="I103" s="1"/>
    </row>
    <row r="104" spans="1:9" ht="15">
      <c r="A104" s="1"/>
      <c r="B104" s="1"/>
      <c r="C104" s="1"/>
      <c r="D104" s="1"/>
      <c r="E104" s="1"/>
      <c r="F104" s="1"/>
      <c r="G104" s="1"/>
      <c r="H104" s="1"/>
      <c r="I104" s="1"/>
    </row>
    <row r="105" spans="1:9" ht="15">
      <c r="A105" s="1"/>
      <c r="B105" s="1"/>
      <c r="C105" s="1"/>
      <c r="D105" s="1"/>
      <c r="E105" s="1"/>
      <c r="F105" s="1"/>
      <c r="G105" s="1"/>
      <c r="H105" s="1"/>
      <c r="I105" s="1"/>
    </row>
    <row r="106" spans="1:9" ht="15">
      <c r="A106" s="1"/>
      <c r="B106" s="1"/>
      <c r="C106" s="1"/>
      <c r="D106" s="1"/>
      <c r="E106" s="1"/>
      <c r="F106" s="1"/>
      <c r="G106" s="1"/>
      <c r="H106" s="1"/>
      <c r="I106" s="1"/>
    </row>
    <row r="107" spans="1:9" ht="15">
      <c r="A107" s="1"/>
      <c r="B107" s="1"/>
      <c r="C107" s="1"/>
      <c r="D107" s="1"/>
      <c r="E107" s="1"/>
      <c r="F107" s="1"/>
      <c r="G107" s="1"/>
      <c r="H107" s="1"/>
      <c r="I107" s="1"/>
    </row>
    <row r="108" spans="1:9" ht="15">
      <c r="A108" s="1"/>
      <c r="B108" s="1"/>
      <c r="C108" s="1"/>
      <c r="D108" s="1"/>
      <c r="E108" s="1"/>
      <c r="F108" s="1"/>
      <c r="G108" s="1"/>
      <c r="H108" s="1"/>
      <c r="I108" s="1"/>
    </row>
    <row r="109" spans="1:9" ht="15">
      <c r="A109" s="1"/>
      <c r="B109" s="1"/>
      <c r="C109" s="1"/>
      <c r="D109" s="1"/>
      <c r="E109" s="1"/>
      <c r="F109" s="1"/>
      <c r="G109" s="1"/>
      <c r="H109" s="1"/>
      <c r="I109" s="1"/>
    </row>
    <row r="110" spans="1:9" ht="15">
      <c r="A110" s="1"/>
      <c r="B110" s="1"/>
      <c r="C110" s="1"/>
      <c r="D110" s="1"/>
      <c r="E110" s="1"/>
      <c r="F110" s="1"/>
      <c r="G110" s="1"/>
      <c r="H110" s="1"/>
      <c r="I110" s="1"/>
    </row>
    <row r="111" spans="1:9" ht="15">
      <c r="A111" s="1"/>
      <c r="B111" s="1"/>
      <c r="C111" s="1"/>
      <c r="D111" s="1"/>
      <c r="E111" s="1"/>
      <c r="F111" s="1"/>
      <c r="G111" s="1"/>
      <c r="H111" s="1"/>
      <c r="I111" s="1"/>
    </row>
    <row r="112" spans="1:9" ht="15">
      <c r="A112" s="1"/>
      <c r="B112" s="1"/>
      <c r="C112" s="1"/>
      <c r="D112" s="1"/>
      <c r="E112" s="1"/>
      <c r="F112" s="1"/>
      <c r="H112" s="1"/>
      <c r="I112" s="1"/>
    </row>
    <row r="113" spans="1:9" ht="15">
      <c r="A113" s="1"/>
      <c r="B113" s="1"/>
      <c r="C113" s="1"/>
      <c r="D113" s="1"/>
      <c r="E113" s="1"/>
      <c r="F113" s="1"/>
      <c r="H113" s="1"/>
      <c r="I113" s="1"/>
    </row>
    <row r="114" spans="1:9" ht="15">
      <c r="A114" s="1"/>
      <c r="B114" s="1"/>
      <c r="C114" s="1"/>
      <c r="D114" s="1"/>
      <c r="E114" s="1"/>
      <c r="F114" s="1"/>
      <c r="H114" s="1"/>
      <c r="I114" s="1"/>
    </row>
    <row r="115" spans="1:9" ht="15">
      <c r="A115" s="1"/>
      <c r="B115" s="1"/>
      <c r="C115" s="1"/>
      <c r="D115" s="1"/>
      <c r="E115" s="1"/>
      <c r="F115" s="1"/>
      <c r="H115" s="1"/>
      <c r="I115" s="1"/>
    </row>
    <row r="116" spans="1:9" ht="15">
      <c r="A116" s="1"/>
      <c r="B116" s="1"/>
      <c r="C116" s="1"/>
      <c r="D116" s="1"/>
      <c r="E116" s="1"/>
      <c r="F116" s="1"/>
      <c r="H116" s="1"/>
      <c r="I116" s="1"/>
    </row>
    <row r="117" spans="1:9" ht="15">
      <c r="A117" s="1"/>
      <c r="B117" s="1"/>
      <c r="C117" s="1"/>
      <c r="D117" s="1"/>
      <c r="E117" s="1"/>
      <c r="F117" s="1"/>
      <c r="H117" s="1"/>
      <c r="I117" s="1"/>
    </row>
    <row r="118" spans="1:9" ht="15">
      <c r="A118" s="1"/>
      <c r="I118" s="1"/>
    </row>
    <row r="119" ht="15">
      <c r="I119" s="1"/>
    </row>
    <row r="120" ht="15">
      <c r="I120" s="1"/>
    </row>
    <row r="121" ht="15">
      <c r="I121" s="1"/>
    </row>
    <row r="122" ht="15">
      <c r="I122" s="1"/>
    </row>
    <row r="123" ht="15">
      <c r="I123" s="1"/>
    </row>
    <row r="124" ht="15">
      <c r="I124" s="1"/>
    </row>
    <row r="125" ht="15">
      <c r="I125" s="1"/>
    </row>
    <row r="126" ht="15">
      <c r="I126" s="1"/>
    </row>
  </sheetData>
  <sheetProtection sheet="1" objects="1" scenarios="1"/>
  <mergeCells count="1">
    <mergeCell ref="B1:C1"/>
  </mergeCells>
  <printOptions/>
  <pageMargins left="0.7" right="0.7" top="0.75" bottom="0.75" header="0.3" footer="0.3"/>
  <pageSetup fitToHeight="0" fitToWidth="1" horizontalDpi="600" verticalDpi="600" orientation="landscape" scale="80" r:id="rId2"/>
  <rowBreaks count="1" manualBreakCount="1">
    <brk id="28" max="255" man="1"/>
  </rowBreak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IV104"/>
  <sheetViews>
    <sheetView zoomScalePageLayoutView="0" workbookViewId="0" topLeftCell="A1">
      <selection activeCell="A1" sqref="A1"/>
    </sheetView>
  </sheetViews>
  <sheetFormatPr defaultColWidth="9.140625" defaultRowHeight="15"/>
  <cols>
    <col min="1" max="1" width="3.7109375" style="1" customWidth="1"/>
    <col min="2" max="2" width="53.8515625" style="1" customWidth="1"/>
    <col min="3" max="8" width="15.7109375" style="1" customWidth="1"/>
    <col min="9" max="9" width="9.140625" style="49" customWidth="1"/>
    <col min="10" max="10" width="11.8515625" style="3" bestFit="1" customWidth="1"/>
    <col min="11" max="11" width="9.140625" style="3" customWidth="1"/>
    <col min="12" max="12" width="9.28125" style="3" bestFit="1" customWidth="1"/>
    <col min="13" max="13" width="9.140625" style="3" customWidth="1"/>
    <col min="14" max="14" width="12.28125" style="3" customWidth="1"/>
    <col min="15" max="15" width="15.7109375" style="3" customWidth="1"/>
    <col min="16" max="16384" width="9.140625" style="3" customWidth="1"/>
  </cols>
  <sheetData>
    <row r="1" spans="2:8" ht="107.25" customHeight="1">
      <c r="B1" s="351"/>
      <c r="C1" s="351"/>
      <c r="D1" s="47"/>
      <c r="E1" s="48"/>
      <c r="F1" s="2"/>
      <c r="G1" s="2"/>
      <c r="H1" s="2"/>
    </row>
    <row r="2" spans="2:9" s="50" customFormat="1" ht="45">
      <c r="B2" s="51" t="s">
        <v>360</v>
      </c>
      <c r="C2" s="10" t="s">
        <v>204</v>
      </c>
      <c r="D2" s="10" t="s">
        <v>153</v>
      </c>
      <c r="E2" s="10" t="s">
        <v>140</v>
      </c>
      <c r="F2" s="10" t="s">
        <v>208</v>
      </c>
      <c r="G2" s="10" t="s">
        <v>150</v>
      </c>
      <c r="H2" s="10" t="s">
        <v>209</v>
      </c>
      <c r="I2" s="52"/>
    </row>
    <row r="3" spans="1:8" ht="15">
      <c r="A3" s="4"/>
      <c r="B3" s="53" t="s">
        <v>358</v>
      </c>
      <c r="C3" s="54">
        <f aca="true" t="shared" si="0" ref="C3:H3">C18</f>
        <v>9660900</v>
      </c>
      <c r="D3" s="54">
        <f t="shared" si="0"/>
        <v>10199900</v>
      </c>
      <c r="E3" s="54">
        <f t="shared" si="0"/>
        <v>9081400</v>
      </c>
      <c r="F3" s="54">
        <f t="shared" si="0"/>
        <v>10739900</v>
      </c>
      <c r="G3" s="54">
        <f t="shared" si="0"/>
        <v>7523400</v>
      </c>
      <c r="H3" s="54">
        <f t="shared" si="0"/>
        <v>10774900</v>
      </c>
    </row>
    <row r="4" spans="1:8" ht="15">
      <c r="A4" s="4"/>
      <c r="B4" s="53" t="s">
        <v>364</v>
      </c>
      <c r="C4" s="55">
        <f aca="true" t="shared" si="1" ref="C4:H4">C27</f>
        <v>0</v>
      </c>
      <c r="D4" s="55">
        <f t="shared" si="1"/>
        <v>0</v>
      </c>
      <c r="E4" s="55">
        <f t="shared" si="1"/>
        <v>0</v>
      </c>
      <c r="F4" s="55">
        <f t="shared" si="1"/>
        <v>0</v>
      </c>
      <c r="G4" s="55">
        <f t="shared" si="1"/>
        <v>14075500</v>
      </c>
      <c r="H4" s="55">
        <f t="shared" si="1"/>
        <v>0</v>
      </c>
    </row>
    <row r="5" spans="1:8" ht="15">
      <c r="A5" s="4"/>
      <c r="B5" s="53" t="s">
        <v>85</v>
      </c>
      <c r="C5" s="55">
        <f aca="true" t="shared" si="2" ref="C5:H5">C37</f>
        <v>2486040</v>
      </c>
      <c r="D5" s="55">
        <f t="shared" si="2"/>
        <v>171870</v>
      </c>
      <c r="E5" s="55">
        <f t="shared" si="2"/>
        <v>5212056</v>
      </c>
      <c r="F5" s="55">
        <f t="shared" si="2"/>
        <v>1763090</v>
      </c>
      <c r="G5" s="55">
        <f t="shared" si="2"/>
        <v>955730</v>
      </c>
      <c r="H5" s="55">
        <f t="shared" si="2"/>
        <v>651490</v>
      </c>
    </row>
    <row r="6" spans="1:8" ht="15">
      <c r="A6" s="4"/>
      <c r="B6" s="338" t="s">
        <v>354</v>
      </c>
      <c r="C6" s="55">
        <f aca="true" t="shared" si="3" ref="C6:H6">C48</f>
        <v>500939</v>
      </c>
      <c r="D6" s="55">
        <f t="shared" si="3"/>
        <v>58934</v>
      </c>
      <c r="E6" s="55">
        <f t="shared" si="3"/>
        <v>736675</v>
      </c>
      <c r="F6" s="55">
        <f t="shared" si="3"/>
        <v>235736</v>
      </c>
      <c r="G6" s="55">
        <f t="shared" si="3"/>
        <v>1090279</v>
      </c>
      <c r="H6" s="55">
        <f t="shared" si="3"/>
        <v>147335</v>
      </c>
    </row>
    <row r="7" spans="1:8" ht="15">
      <c r="A7" s="4"/>
      <c r="B7" s="53" t="s">
        <v>45</v>
      </c>
      <c r="C7" s="55">
        <f aca="true" t="shared" si="4" ref="C7:H7">C53</f>
        <v>464265</v>
      </c>
      <c r="D7" s="55">
        <f t="shared" si="4"/>
        <v>33563</v>
      </c>
      <c r="E7" s="55">
        <f t="shared" si="4"/>
        <v>695336</v>
      </c>
      <c r="F7" s="55">
        <f t="shared" si="4"/>
        <v>255186</v>
      </c>
      <c r="G7" s="55">
        <f t="shared" si="4"/>
        <v>89954</v>
      </c>
      <c r="H7" s="55">
        <f t="shared" si="4"/>
        <v>192408</v>
      </c>
    </row>
    <row r="8" spans="1:8" ht="15">
      <c r="A8" s="4"/>
      <c r="B8" s="53" t="s">
        <v>353</v>
      </c>
      <c r="C8" s="55">
        <f aca="true" t="shared" si="5" ref="C8:H8">C60</f>
        <v>1559659.54</v>
      </c>
      <c r="D8" s="55">
        <f t="shared" si="5"/>
        <v>0</v>
      </c>
      <c r="E8" s="55">
        <f t="shared" si="5"/>
        <v>1150450.3599999999</v>
      </c>
      <c r="F8" s="55">
        <f t="shared" si="5"/>
        <v>580256.1799999999</v>
      </c>
      <c r="G8" s="55">
        <f t="shared" si="5"/>
        <v>1090081.3599999999</v>
      </c>
      <c r="H8" s="55">
        <f t="shared" si="5"/>
        <v>565164.1799999999</v>
      </c>
    </row>
    <row r="9" spans="1:8" ht="15">
      <c r="A9" s="4"/>
      <c r="B9" s="53" t="s">
        <v>355</v>
      </c>
      <c r="C9" s="55">
        <f aca="true" t="shared" si="6" ref="C9:H9">C65</f>
        <v>3507932</v>
      </c>
      <c r="D9" s="55">
        <f t="shared" si="6"/>
        <v>37962</v>
      </c>
      <c r="E9" s="55">
        <f t="shared" si="6"/>
        <v>208791</v>
      </c>
      <c r="F9" s="55">
        <f t="shared" si="6"/>
        <v>227772</v>
      </c>
      <c r="G9" s="55">
        <f t="shared" si="6"/>
        <v>189810</v>
      </c>
      <c r="H9" s="55">
        <f t="shared" si="6"/>
        <v>197402</v>
      </c>
    </row>
    <row r="10" spans="1:8" ht="15">
      <c r="A10" s="4"/>
      <c r="B10" s="56" t="s">
        <v>366</v>
      </c>
      <c r="C10" s="57">
        <f aca="true" t="shared" si="7" ref="C10:H10">SUM(C3:C9)</f>
        <v>18179735.54</v>
      </c>
      <c r="D10" s="57">
        <f t="shared" si="7"/>
        <v>10502229</v>
      </c>
      <c r="E10" s="57">
        <f t="shared" si="7"/>
        <v>17084708.36</v>
      </c>
      <c r="F10" s="57">
        <f t="shared" si="7"/>
        <v>13801940.18</v>
      </c>
      <c r="G10" s="57">
        <f t="shared" si="7"/>
        <v>25014754.36</v>
      </c>
      <c r="H10" s="57">
        <f t="shared" si="7"/>
        <v>12528699.18</v>
      </c>
    </row>
    <row r="11" spans="1:8" ht="15">
      <c r="A11" s="4"/>
      <c r="B11" s="58"/>
      <c r="C11" s="59"/>
      <c r="D11" s="60"/>
      <c r="E11" s="60"/>
      <c r="F11" s="60"/>
      <c r="G11" s="59"/>
      <c r="H11" s="60"/>
    </row>
    <row r="12" spans="1:8" ht="15">
      <c r="A12" s="4"/>
      <c r="B12" s="61" t="s">
        <v>361</v>
      </c>
      <c r="C12" s="61"/>
      <c r="D12" s="62"/>
      <c r="E12" s="19"/>
      <c r="F12" s="19"/>
      <c r="G12" s="19"/>
      <c r="H12" s="19"/>
    </row>
    <row r="13" spans="1:8" ht="15">
      <c r="A13" s="4"/>
      <c r="B13" s="63" t="s">
        <v>112</v>
      </c>
      <c r="C13" s="64">
        <f>TPS_num_clients*TPS_average_client_cost</f>
        <v>4536000</v>
      </c>
      <c r="D13" s="64">
        <f>TMR_num_clients*TMR_average_client_cost</f>
        <v>7300000</v>
      </c>
      <c r="E13" s="64">
        <f>VHD_num_clients*VHD_average_client_cost</f>
        <v>4536000</v>
      </c>
      <c r="F13" s="64">
        <f>OSS_num_clients*OSS_average_client_cost</f>
        <v>6550000</v>
      </c>
      <c r="G13" s="64">
        <f>BPC_num_clients*BPC_average_client_cost</f>
        <v>4536000</v>
      </c>
      <c r="H13" s="64">
        <f>AS_num_clients*AS_average_client_cost</f>
        <v>7300000</v>
      </c>
    </row>
    <row r="14" spans="1:8" ht="15">
      <c r="A14" s="4"/>
      <c r="B14" s="65" t="s">
        <v>108</v>
      </c>
      <c r="C14" s="66">
        <f>TPS_num_clients*TPS_average_monitor_cost</f>
        <v>2599900</v>
      </c>
      <c r="D14" s="66">
        <f>TMR_num_clients*TMR_average_monitor_cost</f>
        <v>2599900</v>
      </c>
      <c r="E14" s="66">
        <f>VHD_num_clients*VHD_average_monitor_cost</f>
        <v>2599900</v>
      </c>
      <c r="F14" s="66">
        <f>OSS_num_clients*OSS_average_monitor_cost</f>
        <v>2599900</v>
      </c>
      <c r="G14" s="66">
        <f>BPC_num_clients*BPC_average_monitor_cost</f>
        <v>2599900</v>
      </c>
      <c r="H14" s="66">
        <f>AS_num_clients*AS_average_monitor_cost</f>
        <v>2599900</v>
      </c>
    </row>
    <row r="15" spans="1:8" ht="15">
      <c r="A15" s="4"/>
      <c r="B15" s="67" t="s">
        <v>104</v>
      </c>
      <c r="C15" s="68">
        <f>TPS_num_clients*TPS_max_concurrent_pct*TPS_client_acc_lic_cost</f>
        <v>2375000</v>
      </c>
      <c r="D15" s="68">
        <f>TMR_num_clients*TMR_max_concurrent_pct*TMR_client_acc_lic_cost</f>
        <v>0</v>
      </c>
      <c r="E15" s="68">
        <f>VHD_num_clients*VHD_max_concurrent_pct*VHD_client_acc_lic_cost</f>
        <v>1795500</v>
      </c>
      <c r="F15" s="68">
        <f>OSS_num_clients*OSS_max_concurrent_pct*OSS_client_acc_lic_cost</f>
        <v>1000000</v>
      </c>
      <c r="G15" s="68">
        <f>BPC_num_clients*BPC_max_concurrent_pct*BPC_client_acc_lic_cost</f>
        <v>237500</v>
      </c>
      <c r="H15" s="68">
        <f>AS_num_clients*AS_max_concurrent_pct*AS_client_acc_lic_cost</f>
        <v>285000</v>
      </c>
    </row>
    <row r="16" spans="1:8" ht="15">
      <c r="A16" s="4"/>
      <c r="B16" s="70" t="s">
        <v>99</v>
      </c>
      <c r="C16" s="68">
        <f>TPS_num_clients*(TPS_pct_new_app_Lic*TPS_max_concurrent_pct)*TPS_client_app_lic_cost</f>
        <v>0</v>
      </c>
      <c r="D16" s="68">
        <f>TMR_num_clients*(TMR_pct_new_app_Lic*TMR_max_concurrent_pct)*TMR_client_app_lic_cost</f>
        <v>0</v>
      </c>
      <c r="E16" s="68">
        <f>VHD_num_clients*(VHD_pct_new_app_Lic*VHD_max_concurrent_pct)*VHD_client_app_lic_cost</f>
        <v>0</v>
      </c>
      <c r="F16" s="68">
        <f>OSS_num_clients*(OSS_pct_new_app_Lic*OSS_max_concurrent_pct)*OSS_client_app_lic_cost</f>
        <v>0</v>
      </c>
      <c r="G16" s="68">
        <f>BPC_num_clients*(BPC_pct_new_app_Lic*BPC_max_concurrent_pct)*BPC_client_app_lic_cost</f>
        <v>0</v>
      </c>
      <c r="H16" s="68">
        <f>AS_num_clients*(AS_pct_new_app_Lic*AS_max_concurrent_pct)*AS_client_app_lic_cost</f>
        <v>0</v>
      </c>
    </row>
    <row r="17" spans="1:9" s="243" customFormat="1" ht="15">
      <c r="A17" s="239"/>
      <c r="B17" s="240" t="s">
        <v>59</v>
      </c>
      <c r="C17" s="241">
        <f>TPS_num_clients*TPS_mgnt_sw_cost_per_client</f>
        <v>150000</v>
      </c>
      <c r="D17" s="241">
        <f>TMR_num_clients*TMR_mgnt_sw_cost_per_client</f>
        <v>300000</v>
      </c>
      <c r="E17" s="241">
        <f>VHD_num_clients*VHD_mgnt_sw_cost_per_client</f>
        <v>150000</v>
      </c>
      <c r="F17" s="241">
        <f>OSS_num_clients*OSS_mgnt_sw_cost_per_client</f>
        <v>590000</v>
      </c>
      <c r="G17" s="241">
        <f>BPC_num_clients*BPC_mgnt_sw_cost_per_client</f>
        <v>150000</v>
      </c>
      <c r="H17" s="241">
        <f>AS_num_clients*AS_mgnt_sw_cost_per_client</f>
        <v>590000</v>
      </c>
      <c r="I17" s="242"/>
    </row>
    <row r="18" spans="1:8" ht="15">
      <c r="A18" s="4"/>
      <c r="B18" s="71" t="s">
        <v>359</v>
      </c>
      <c r="C18" s="72">
        <f aca="true" t="shared" si="8" ref="C18:H18">SUM(C13:C17)</f>
        <v>9660900</v>
      </c>
      <c r="D18" s="72">
        <f t="shared" si="8"/>
        <v>10199900</v>
      </c>
      <c r="E18" s="72">
        <f t="shared" si="8"/>
        <v>9081400</v>
      </c>
      <c r="F18" s="72">
        <f t="shared" si="8"/>
        <v>10739900</v>
      </c>
      <c r="G18" s="72">
        <f t="shared" si="8"/>
        <v>7523400</v>
      </c>
      <c r="H18" s="72">
        <f t="shared" si="8"/>
        <v>10774900</v>
      </c>
    </row>
    <row r="19" spans="1:8" ht="15">
      <c r="A19" s="4"/>
      <c r="B19" s="73"/>
      <c r="C19" s="74"/>
      <c r="D19" s="75"/>
      <c r="E19" s="75"/>
      <c r="F19" s="75"/>
      <c r="G19" s="74"/>
      <c r="H19" s="75"/>
    </row>
    <row r="20" spans="1:8" ht="15">
      <c r="A20" s="4"/>
      <c r="B20" s="61" t="s">
        <v>364</v>
      </c>
      <c r="C20" s="61"/>
      <c r="D20" s="19"/>
      <c r="E20" s="19"/>
      <c r="F20" s="19"/>
      <c r="G20" s="19"/>
      <c r="H20" s="19"/>
    </row>
    <row r="21" spans="2:8" ht="15">
      <c r="B21" s="76" t="s">
        <v>149</v>
      </c>
      <c r="C21" s="77" t="s">
        <v>151</v>
      </c>
      <c r="D21" s="77" t="s">
        <v>151</v>
      </c>
      <c r="E21" s="77" t="s">
        <v>151</v>
      </c>
      <c r="F21" s="77" t="s">
        <v>151</v>
      </c>
      <c r="G21" s="78">
        <f>BPC_max_concurrent_pct*BPC_num_clients</f>
        <v>9500</v>
      </c>
      <c r="H21" s="77" t="s">
        <v>151</v>
      </c>
    </row>
    <row r="22" spans="1:8" ht="15">
      <c r="A22" s="4"/>
      <c r="B22" s="76" t="s">
        <v>148</v>
      </c>
      <c r="C22" s="79" t="s">
        <v>151</v>
      </c>
      <c r="D22" s="79" t="s">
        <v>151</v>
      </c>
      <c r="E22" s="79" t="s">
        <v>151</v>
      </c>
      <c r="F22" s="79" t="s">
        <v>151</v>
      </c>
      <c r="G22" s="78">
        <f>ROUND(G21/20,0)</f>
        <v>475</v>
      </c>
      <c r="H22" s="79" t="s">
        <v>151</v>
      </c>
    </row>
    <row r="23" spans="1:8" ht="15">
      <c r="A23" s="4"/>
      <c r="B23" s="76" t="s">
        <v>72</v>
      </c>
      <c r="C23" s="79" t="s">
        <v>151</v>
      </c>
      <c r="D23" s="79" t="s">
        <v>151</v>
      </c>
      <c r="E23" s="79" t="s">
        <v>151</v>
      </c>
      <c r="F23" s="79" t="s">
        <v>151</v>
      </c>
      <c r="G23" s="78">
        <f>ROUNDUP(G22/14,0)</f>
        <v>34</v>
      </c>
      <c r="H23" s="79" t="s">
        <v>151</v>
      </c>
    </row>
    <row r="24" spans="1:8" ht="15">
      <c r="A24" s="4"/>
      <c r="B24" s="76" t="s">
        <v>147</v>
      </c>
      <c r="C24" s="79" t="s">
        <v>151</v>
      </c>
      <c r="D24" s="79" t="s">
        <v>151</v>
      </c>
      <c r="E24" s="79" t="s">
        <v>151</v>
      </c>
      <c r="F24" s="79" t="s">
        <v>151</v>
      </c>
      <c r="G24" s="54">
        <f>ROUND(G21*BPC_cost_per_blade,0)</f>
        <v>10478500</v>
      </c>
      <c r="H24" s="79" t="s">
        <v>151</v>
      </c>
    </row>
    <row r="25" spans="1:8" ht="15">
      <c r="A25" s="4"/>
      <c r="B25" s="76" t="s">
        <v>146</v>
      </c>
      <c r="C25" s="79" t="s">
        <v>151</v>
      </c>
      <c r="D25" s="79" t="s">
        <v>151</v>
      </c>
      <c r="E25" s="79" t="s">
        <v>151</v>
      </c>
      <c r="F25" s="79" t="s">
        <v>151</v>
      </c>
      <c r="G25" s="54">
        <f>ROUND(G22*BPC_cost_per_blade_enclosure,0)</f>
        <v>3325000</v>
      </c>
      <c r="H25" s="79" t="s">
        <v>151</v>
      </c>
    </row>
    <row r="26" spans="1:8" ht="15">
      <c r="A26" s="4"/>
      <c r="B26" s="76" t="s">
        <v>145</v>
      </c>
      <c r="C26" s="77" t="s">
        <v>151</v>
      </c>
      <c r="D26" s="77" t="s">
        <v>151</v>
      </c>
      <c r="E26" s="77" t="s">
        <v>151</v>
      </c>
      <c r="F26" s="77" t="s">
        <v>151</v>
      </c>
      <c r="G26" s="54">
        <f>ROUND(G23*BPC_cost_per_rack,0)</f>
        <v>272000</v>
      </c>
      <c r="H26" s="77" t="s">
        <v>151</v>
      </c>
    </row>
    <row r="27" spans="1:8" ht="14.25" customHeight="1">
      <c r="A27" s="4"/>
      <c r="B27" s="80" t="s">
        <v>365</v>
      </c>
      <c r="C27" s="72">
        <v>0</v>
      </c>
      <c r="D27" s="72">
        <v>0</v>
      </c>
      <c r="E27" s="72">
        <v>0</v>
      </c>
      <c r="F27" s="72">
        <v>0</v>
      </c>
      <c r="G27" s="72">
        <f>SUM(G24:G26)</f>
        <v>14075500</v>
      </c>
      <c r="H27" s="72">
        <v>0</v>
      </c>
    </row>
    <row r="28" spans="1:8" ht="15">
      <c r="A28" s="4"/>
      <c r="B28" s="4"/>
      <c r="C28" s="4"/>
      <c r="D28" s="81"/>
      <c r="E28" s="81"/>
      <c r="F28" s="81"/>
      <c r="H28" s="81"/>
    </row>
    <row r="29" spans="1:8" ht="15">
      <c r="A29" s="4"/>
      <c r="B29" s="61" t="s">
        <v>85</v>
      </c>
      <c r="C29" s="61"/>
      <c r="D29" s="62"/>
      <c r="E29" s="19"/>
      <c r="F29" s="19"/>
      <c r="G29" s="19"/>
      <c r="H29" s="19"/>
    </row>
    <row r="30" spans="1:8" ht="15">
      <c r="A30" s="4"/>
      <c r="B30" s="53" t="s">
        <v>81</v>
      </c>
      <c r="C30" s="53">
        <f>IF(TPS_clients_per_access_server="N/A",0,ROUNDUP(MAX(TPS_min_access_servers,(TPS_num_clients/TPS_clients_per_access_server)),0))</f>
        <v>176</v>
      </c>
      <c r="D30" s="53">
        <f>IF(TMR_clients_per_access_server="N/A",0,ROUNDUP(MAX(TMR_min_access_servers,(TMR_num_clients/TMR_clients_per_access_server)),0))</f>
        <v>0</v>
      </c>
      <c r="E30" s="53">
        <f>IF(VHD_clients_per_access_server="N/A",0,ROUNDUP(MAX(VHD_min_access_servers,(VHD_num_clients/VHD_clients_per_access_server)),0))</f>
        <v>278</v>
      </c>
      <c r="F30" s="53">
        <f>IF(OSS_clients_per_access_server="N/A",0,ROUNDUP(MAX(OSS_min_access_servers,(OSS_num_clients/OSS_clients_per_access_server)),0))</f>
        <v>66</v>
      </c>
      <c r="G30" s="53">
        <f>IF(BPC_clients_per_access_server="N/A",0,ROUNDUP(MAX(BPC_min_access_servers,(BPC_num_clients/BPC_clients_per_access_server)),0))</f>
        <v>0</v>
      </c>
      <c r="H30" s="53">
        <f>IF(AS_clients_per_access_server="N/A",0,ROUNDUP(MAX(AS_min_access_servers,(AS_num_clients/AS_clients_per_access_server)),0))</f>
        <v>26</v>
      </c>
    </row>
    <row r="31" spans="1:8" ht="15">
      <c r="A31" s="4"/>
      <c r="B31" s="53" t="s">
        <v>77</v>
      </c>
      <c r="C31" s="53">
        <f>ROUNDUP(TPS_min_management_servers+(TPS_num_clients/TPS_clients_per_management_server),0)</f>
        <v>20</v>
      </c>
      <c r="D31" s="53">
        <f>ROUNDUP(TMR_min_management_servers+(TMR_num_clients/TMR_clients_per_management_server),0)</f>
        <v>13</v>
      </c>
      <c r="E31" s="53">
        <f>ROUNDUP(VHD_min_management_servers+(VHD_num_clients/VHD_clients_per_management_server),0)</f>
        <v>20</v>
      </c>
      <c r="F31" s="53">
        <f>ROUNDUP(OSS_min_management_servers+(OSS_num_clients/OSS_clients_per_management_server),0)</f>
        <v>25</v>
      </c>
      <c r="G31" s="53">
        <f>ROUNDUP(BPC_min_management_servers+(BPC_num_clients/BPC_clients_per_management_server),0)</f>
        <v>27</v>
      </c>
      <c r="H31" s="53">
        <f>ROUNDUP(AS_min_management_servers+(AS_num_clients/AS_clients_per_management_server),0)</f>
        <v>25</v>
      </c>
    </row>
    <row r="32" spans="1:8" ht="15">
      <c r="A32" s="4"/>
      <c r="B32" s="53" t="s">
        <v>72</v>
      </c>
      <c r="C32" s="53">
        <f>ROUNDUP((TPS_number_of_access_infrastructure_servers+TPS_number_of_management_servers)/TPS_servers_per_rack,0)</f>
        <v>17</v>
      </c>
      <c r="D32" s="53">
        <f>ROUNDUP((TMR_number_of_access_infrastructure_servers+TMR_number_of_management_servers)/TMR_servers_per_rack,0)</f>
        <v>2</v>
      </c>
      <c r="E32" s="53">
        <f>ROUNDUP((VHD_number_of_access_infrastructure_servers+VHD_number_of_management_servers)/VHD_servers_per_rack,0)</f>
        <v>25</v>
      </c>
      <c r="F32" s="53">
        <f>ROUNDUP((OSS_number_of_access_infrastructure_servers+OSS_number_of_management_servers)/OSS_servers_per_rack,0)</f>
        <v>8</v>
      </c>
      <c r="G32" s="53">
        <f>ROUNDUP((BPC_number_of_access_infrastructure_servers+BPC_number_of_management_servers)/BPC_servers_per_rack,0)</f>
        <v>3</v>
      </c>
      <c r="H32" s="53">
        <f>ROUNDUP((AS_number_of_access_infrastructure_servers+AS_number_of_management_servers)/AS_servers_per_rack,0)</f>
        <v>5</v>
      </c>
    </row>
    <row r="33" spans="1:8" ht="15">
      <c r="A33" s="4"/>
      <c r="B33" s="65" t="s">
        <v>69</v>
      </c>
      <c r="C33" s="54">
        <f>ROUND((TPS_number_of_access_infrastructure_servers*TPS_average_server_cost),0)</f>
        <v>2110240</v>
      </c>
      <c r="D33" s="54">
        <f>ROUND((TMR_number_of_access_infrastructure_servers*TMR_average_server_cost),0)</f>
        <v>0</v>
      </c>
      <c r="E33" s="54">
        <f>ROUND((VHD_number_of_access_infrastructure_servers*VHD_average_server_cost),0)</f>
        <v>3828616</v>
      </c>
      <c r="F33" s="54">
        <f>ROUND((OSS_number_of_access_infrastructure_servers*OSS_average_server_cost),0)</f>
        <v>791340</v>
      </c>
      <c r="G33" s="54">
        <f>ROUND((BPC_number_of_access_infrastructure_servers*BPC_average_server_cost),0)</f>
        <v>0</v>
      </c>
      <c r="H33" s="54">
        <f>ROUND((AS_number_of_access_infrastructure_servers*AS_average_server_cost),0)</f>
        <v>311740</v>
      </c>
    </row>
    <row r="34" spans="1:8" ht="15">
      <c r="A34" s="82"/>
      <c r="B34" s="65" t="s">
        <v>66</v>
      </c>
      <c r="C34" s="54">
        <f>ROUND((TPS_number_of_management_servers*TPS_average_server_cost),0)</f>
        <v>239800</v>
      </c>
      <c r="D34" s="54">
        <f>ROUND((TMR_number_of_management_servers*TMR_average_server_cost),0)</f>
        <v>155870</v>
      </c>
      <c r="E34" s="54">
        <f>ROUND((VHD_number_of_management_servers*VHD_average_server_cost),0)</f>
        <v>275440</v>
      </c>
      <c r="F34" s="54">
        <f>ROUND((OSS_number_of_management_servers*OSS_average_server_cost),0)</f>
        <v>299750</v>
      </c>
      <c r="G34" s="54">
        <f>ROUND((BPC_number_of_management_servers*BPC_average_server_cost),0)</f>
        <v>323730</v>
      </c>
      <c r="H34" s="54">
        <f>ROUND((AS_number_of_management_servers*AS_average_server_cost),0)</f>
        <v>299750</v>
      </c>
    </row>
    <row r="35" spans="1:8" ht="15">
      <c r="A35" s="82"/>
      <c r="B35" s="65" t="s">
        <v>64</v>
      </c>
      <c r="C35" s="54">
        <f>ROUND(TPS_number_of_racks*TPS_cost_per_rack,0)</f>
        <v>136000</v>
      </c>
      <c r="D35" s="54">
        <f>ROUND(D32*TMR_cost_per_rack,0)</f>
        <v>16000</v>
      </c>
      <c r="E35" s="54">
        <f>ROUND(VHD_number_of_racks*VHD_cost_per_rack,0)</f>
        <v>200000</v>
      </c>
      <c r="F35" s="54">
        <f>ROUND(F32*OSS_cost_per_rack,0)</f>
        <v>64000</v>
      </c>
      <c r="G35" s="54">
        <f>ROUND(BPC_number_of_racks*BPC_cost_per_rack,0)</f>
        <v>24000</v>
      </c>
      <c r="H35" s="54">
        <f>ROUND(H32*AS_cost_per_rack,0)</f>
        <v>40000</v>
      </c>
    </row>
    <row r="36" spans="1:256" s="243" customFormat="1" ht="15">
      <c r="A36" s="239"/>
      <c r="B36" s="339" t="s">
        <v>157</v>
      </c>
      <c r="C36" s="340">
        <f>ROUND((TPS_san_storage_per_user*TPS_num_clients*TPS_san_gb_cost)+((IF(TPS_san_storage_per_user&gt;0,1,0))*TPS_cost_per_rack),0)</f>
        <v>0</v>
      </c>
      <c r="D36" s="340">
        <f>ROUND((TMR_san_storage_per_user*TMR_num_clients*TMR_san_gb_cost)+((IF(TMR_san_storage_per_user&gt;0,1,0))*TMR_cost_per_rack),0)</f>
        <v>0</v>
      </c>
      <c r="E36" s="340">
        <f>ROUND((VHD_san_storage_per_user*VHD_num_clients*VHD_san_gb_cost)+((IF(VHD_san_storage_per_user&gt;0,1,0))*VHD_cost_per_rack),0)</f>
        <v>908000</v>
      </c>
      <c r="F36" s="340">
        <f>ROUND((OSS_san_storage_per_user*OSS_num_clients*OSS_san_gb_cost)+((IF(OSS_san_storage_per_user&gt;0,1,0))*OSS_cost_per_rack),0)</f>
        <v>608000</v>
      </c>
      <c r="G36" s="340">
        <f>ROUND((BPC_san_storage_per_user*BPC_num_clients*BPC_san_gb_cost)+((IF(BPC_san_storage_per_user&gt;0,1,0))*BPC_cost_per_rack),0)</f>
        <v>608000</v>
      </c>
      <c r="H36" s="340">
        <f>ROUND((AS_san_storage_per_user*AS_num_clients*AS_san_gb_cost)+((IF(AS_san_storage_per_user&gt;0,1,0))*AS_cost_per_rack),0)</f>
        <v>0</v>
      </c>
      <c r="I36" s="4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8" ht="15">
      <c r="A37" s="4"/>
      <c r="B37" s="80" t="s">
        <v>357</v>
      </c>
      <c r="C37" s="72">
        <f aca="true" t="shared" si="9" ref="C37:H37">SUM(C33:C36)</f>
        <v>2486040</v>
      </c>
      <c r="D37" s="72">
        <f t="shared" si="9"/>
        <v>171870</v>
      </c>
      <c r="E37" s="72">
        <f t="shared" si="9"/>
        <v>5212056</v>
      </c>
      <c r="F37" s="72">
        <f t="shared" si="9"/>
        <v>1763090</v>
      </c>
      <c r="G37" s="72">
        <f t="shared" si="9"/>
        <v>955730</v>
      </c>
      <c r="H37" s="72">
        <f t="shared" si="9"/>
        <v>651490</v>
      </c>
    </row>
    <row r="38" spans="1:8" ht="15">
      <c r="A38" s="4"/>
      <c r="B38" s="58"/>
      <c r="C38" s="58"/>
      <c r="D38" s="83"/>
      <c r="E38" s="83"/>
      <c r="F38" s="83"/>
      <c r="G38" s="58"/>
      <c r="H38" s="83"/>
    </row>
    <row r="39" spans="1:8" ht="15">
      <c r="A39" s="4"/>
      <c r="B39" s="283" t="s">
        <v>362</v>
      </c>
      <c r="C39" s="61"/>
      <c r="D39" s="62"/>
      <c r="E39" s="19"/>
      <c r="F39" s="19"/>
      <c r="G39" s="19"/>
      <c r="H39" s="19"/>
    </row>
    <row r="40" spans="1:8" ht="15">
      <c r="A40" s="4"/>
      <c r="B40" s="53" t="s">
        <v>72</v>
      </c>
      <c r="C40" s="53">
        <f>ROUNDUP((TPS_number_of_access_infrastructure_servers+TPS_number_of_management_servers)/TPS_servers_per_rack,0)</f>
        <v>17</v>
      </c>
      <c r="D40" s="53">
        <f>ROUNDUP((TMR_number_of_access_infrastructure_servers+TMR_number_of_management_servers)/TMR_servers_per_rack,0)</f>
        <v>2</v>
      </c>
      <c r="E40" s="53">
        <f>ROUNDUP((VHD_number_of_access_infrastructure_servers+VHD_number_of_management_servers)/VHD_servers_per_rack,0)</f>
        <v>25</v>
      </c>
      <c r="F40" s="53">
        <f>ROUNDUP((OSS_number_of_access_infrastructure_servers+OSS_number_of_management_servers)/OSS_servers_per_rack,0)</f>
        <v>8</v>
      </c>
      <c r="G40" s="53">
        <f>(ROUNDUP((BPC_number_of_access_infrastructure_servers+BPC_number_of_management_servers)/BPC_servers_per_rack,0))+ROUNDUP(BPC_num_blade_racks,0)</f>
        <v>37</v>
      </c>
      <c r="H40" s="53">
        <f>ROUNDUP((AS_number_of_access_infrastructure_servers+AS_number_of_management_servers)/AS_servers_per_rack,0)</f>
        <v>5</v>
      </c>
    </row>
    <row r="41" spans="2:10" ht="15">
      <c r="B41" s="105" t="s">
        <v>110</v>
      </c>
      <c r="C41" s="292">
        <f>TPS_cost_per_sq_feet</f>
        <v>66.67</v>
      </c>
      <c r="D41" s="292">
        <f>TMR_cost_per_sq_feet</f>
        <v>66.67</v>
      </c>
      <c r="E41" s="292">
        <f>VHD_cost_per_sq_feet</f>
        <v>66.67</v>
      </c>
      <c r="F41" s="292">
        <f>OSS_cost_per_sq_feet</f>
        <v>66.67</v>
      </c>
      <c r="G41" s="292">
        <f>BPC_cost_per_sq_feet</f>
        <v>66.67</v>
      </c>
      <c r="H41" s="292">
        <f>AS_cost_per_sq_feet</f>
        <v>66.67</v>
      </c>
      <c r="I41" s="30"/>
      <c r="J41" s="265"/>
    </row>
    <row r="42" spans="2:10" ht="15">
      <c r="B42" s="156" t="s">
        <v>61</v>
      </c>
      <c r="C42" s="293">
        <f>TPS_sq_feet_per_rack</f>
        <v>25</v>
      </c>
      <c r="D42" s="293">
        <f>TMR_sq_feet_per_rack</f>
        <v>25</v>
      </c>
      <c r="E42" s="293">
        <f>VHD_sq_feet_per_rack</f>
        <v>25</v>
      </c>
      <c r="F42" s="293">
        <f>OSS_sq_feet_per_rack</f>
        <v>25</v>
      </c>
      <c r="G42" s="293">
        <f>BPC_sq_feet_per_rack</f>
        <v>25</v>
      </c>
      <c r="H42" s="293">
        <f>AS_sq_feet_per_rack</f>
        <v>25</v>
      </c>
      <c r="I42" s="30"/>
      <c r="J42" s="266"/>
    </row>
    <row r="43" spans="2:10" ht="15">
      <c r="B43" s="156" t="s">
        <v>318</v>
      </c>
      <c r="C43" s="318">
        <f>TPS_wiring_cost_per_rack</f>
        <v>300</v>
      </c>
      <c r="D43" s="318">
        <f>TMR_wiring_cost_per_rack</f>
        <v>300</v>
      </c>
      <c r="E43" s="318">
        <f>VHD_wiring_cost_per_rack</f>
        <v>300</v>
      </c>
      <c r="F43" s="318">
        <f>OSS_wiring_cost_per_rack</f>
        <v>300</v>
      </c>
      <c r="G43" s="318">
        <f>BPC_wiring_cost_per_rack</f>
        <v>300</v>
      </c>
      <c r="H43" s="318">
        <f>AS_wiring_cost_per_rack</f>
        <v>300</v>
      </c>
      <c r="I43" s="30"/>
      <c r="J43" s="272"/>
    </row>
    <row r="44" spans="2:10" ht="15">
      <c r="B44" s="156" t="s">
        <v>317</v>
      </c>
      <c r="C44" s="318">
        <f>TPS_port_costs</f>
        <v>5400</v>
      </c>
      <c r="D44" s="318">
        <f>TMR_port_costs</f>
        <v>5400</v>
      </c>
      <c r="E44" s="318">
        <f>VHD_port_costs</f>
        <v>5400</v>
      </c>
      <c r="F44" s="318">
        <f>OSS_port_costs</f>
        <v>5400</v>
      </c>
      <c r="G44" s="318">
        <f>BPC_port_costs</f>
        <v>5400</v>
      </c>
      <c r="H44" s="318">
        <f>AS_port_costs</f>
        <v>5400</v>
      </c>
      <c r="I44" s="30"/>
      <c r="J44" s="272"/>
    </row>
    <row r="45" spans="2:10" ht="15">
      <c r="B45" s="156" t="s">
        <v>319</v>
      </c>
      <c r="C45" s="318">
        <f>ROUND(C40*C41*C42*TPS_upgrade_cycle,0)</f>
        <v>113339</v>
      </c>
      <c r="D45" s="318">
        <f>ROUND(D40*D41*D42*TMR_upgrade_cycle,0)</f>
        <v>13334</v>
      </c>
      <c r="E45" s="318">
        <f>ROUND(E40*E41*E42*VHD_upgrade_cycle,0)</f>
        <v>166675</v>
      </c>
      <c r="F45" s="318">
        <f>ROUND(F40*F41*F42*OSS_upgrade_cycle,0)</f>
        <v>53336</v>
      </c>
      <c r="G45" s="318">
        <f>ROUND(G40*G41*G42*BPC_upgrade_cycle,0)</f>
        <v>246679</v>
      </c>
      <c r="H45" s="318">
        <f>ROUND(H40*H41*H42*AS_upgrade_cycle,0)</f>
        <v>33335</v>
      </c>
      <c r="I45" s="30"/>
      <c r="J45" s="272"/>
    </row>
    <row r="46" spans="2:10" ht="15">
      <c r="B46" s="156" t="s">
        <v>320</v>
      </c>
      <c r="C46" s="318">
        <f>ROUND(C40*C44*TPS_upgrade_cycle,0)</f>
        <v>367200</v>
      </c>
      <c r="D46" s="318">
        <f>ROUND(D40*D44*TMR_upgrade_cycle,0)</f>
        <v>43200</v>
      </c>
      <c r="E46" s="318">
        <f>ROUND(E40*E44*VHD_upgrade_cycle,0)</f>
        <v>540000</v>
      </c>
      <c r="F46" s="318">
        <f>ROUND(F40*F44*OSS_upgrade_cycle,0)</f>
        <v>172800</v>
      </c>
      <c r="G46" s="318">
        <f>ROUND(G40*G44*BPC_upgrade_cycle,0)</f>
        <v>799200</v>
      </c>
      <c r="H46" s="318">
        <f>ROUND(H40*H44*AS_upgrade_cycle,0)</f>
        <v>108000</v>
      </c>
      <c r="I46" s="30"/>
      <c r="J46" s="272"/>
    </row>
    <row r="47" spans="2:10" ht="15">
      <c r="B47" s="156" t="s">
        <v>321</v>
      </c>
      <c r="C47" s="318">
        <f>ROUND(C40*C43*TPS_upgrade_cycle,0)</f>
        <v>20400</v>
      </c>
      <c r="D47" s="318">
        <f>ROUND(D40*D43*TMR_upgrade_cycle,0)</f>
        <v>2400</v>
      </c>
      <c r="E47" s="318">
        <f>ROUND(E40*E43*VHD_upgrade_cycle,0)</f>
        <v>30000</v>
      </c>
      <c r="F47" s="318">
        <f>ROUND(F40*F43*OSS_upgrade_cycle,0)</f>
        <v>9600</v>
      </c>
      <c r="G47" s="318">
        <f>ROUND(G40*G43*BPC_upgrade_cycle,0)</f>
        <v>44400</v>
      </c>
      <c r="H47" s="318">
        <f>ROUND(H40*H43*AS_upgrade_cycle,0)</f>
        <v>6000</v>
      </c>
      <c r="I47" s="30"/>
      <c r="J47" s="272"/>
    </row>
    <row r="48" spans="1:256" ht="15">
      <c r="A48" s="4"/>
      <c r="B48" s="80" t="s">
        <v>362</v>
      </c>
      <c r="C48" s="84">
        <f aca="true" t="shared" si="10" ref="C48:H48">SUM(C45:C47)</f>
        <v>500939</v>
      </c>
      <c r="D48" s="84">
        <f t="shared" si="10"/>
        <v>58934</v>
      </c>
      <c r="E48" s="84">
        <f t="shared" si="10"/>
        <v>736675</v>
      </c>
      <c r="F48" s="84">
        <f t="shared" si="10"/>
        <v>235736</v>
      </c>
      <c r="G48" s="84">
        <f t="shared" si="10"/>
        <v>1090279</v>
      </c>
      <c r="H48" s="84">
        <f t="shared" si="10"/>
        <v>147335</v>
      </c>
      <c r="IV48" s="3">
        <f>SUM(A48:IU48)</f>
        <v>2769898</v>
      </c>
    </row>
    <row r="49" spans="1:12" ht="15">
      <c r="A49" s="4"/>
      <c r="B49" s="59"/>
      <c r="C49" s="59"/>
      <c r="D49" s="59"/>
      <c r="E49" s="59"/>
      <c r="F49" s="59"/>
      <c r="G49" s="59"/>
      <c r="H49" s="59"/>
      <c r="L49" s="287"/>
    </row>
    <row r="50" spans="1:8" ht="15">
      <c r="A50" s="4"/>
      <c r="B50" s="283" t="s">
        <v>45</v>
      </c>
      <c r="C50" s="61"/>
      <c r="D50" s="62"/>
      <c r="E50" s="19"/>
      <c r="F50" s="19"/>
      <c r="G50" s="19"/>
      <c r="H50" s="19"/>
    </row>
    <row r="51" spans="1:13" s="282" customFormat="1" ht="15">
      <c r="A51" s="278"/>
      <c r="B51" s="279" t="s">
        <v>44</v>
      </c>
      <c r="C51" s="280">
        <f>ROUND((((TPS_number_of_access_infrastructure_servers+TPS_number_of_management_servers)*TPS_IT_factor*TPS_average_IT_hourly_wage))+(TPS_IT_staff_hours_base*TPS_average_IT_hourly_wage),0)</f>
        <v>268265</v>
      </c>
      <c r="D51" s="280">
        <f>ROUND(((TMR_number_of_management_servers+TMR_number_of_access_infrastructure_servers)*TMR_IT_factor*TMR_average_IT_hourly_wage)+(TMR_IT_staff_hours_base*TMR_average_IT_hourly_wage),0)</f>
        <v>20563</v>
      </c>
      <c r="E51" s="280">
        <f>ROUND(((VHD_number_of_management_servers+VHD_number_of_access_infrastructure_servers)*VHD_IT_factor*VHD_average_IT_hourly_wage)+(VHD_IT_staff_hours_base*VHD_average_IT_hourly_wage),0)</f>
        <v>397336</v>
      </c>
      <c r="F51" s="280">
        <f>ROUND(((OSS_number_of_management_servers+OSS_number_of_access_infrastructure_servers)*OSS_IT_factor*OSS_average_IT_hourly_wage)+(OSS_IT_staff_hours_base*OSS_average_IT_hourly_wage),0)</f>
        <v>164186</v>
      </c>
      <c r="G51" s="280">
        <f>ROUND(((BPC_number_of_management_servers+BPC_number_of_access_infrastructure_servers)*BPC_IT_factor*BPC_average_IT_hourly_wage)+(BPC_IT_staff_hours_base*BPC_average_IT_hourly_wage),0)</f>
        <v>62954</v>
      </c>
      <c r="H51" s="280">
        <f>ROUND(((AS_number_of_management_servers+AS_number_of_access_infrastructure_servers)*AS_IT_factor*AS_average_IT_hourly_wage)+(AS_IT_staff_hours_base*AS_average_IT_hourly_wage),0)</f>
        <v>141408</v>
      </c>
      <c r="I51" s="281"/>
      <c r="M51" s="3"/>
    </row>
    <row r="52" spans="1:12" ht="15">
      <c r="A52" s="82"/>
      <c r="B52" s="85" t="s">
        <v>43</v>
      </c>
      <c r="C52" s="86">
        <f>ROUND((TPS_number_of_access_infrastructure_servers+TPS_number_of_management_servers)*TPS_consulting_factor*TPS_avg_consultant_hourly_rate,0)</f>
        <v>196000</v>
      </c>
      <c r="D52" s="86">
        <f>ROUND((TMR_number_of_management_servers+TMR_number_of_access_infrastructure_servers)*TMR_consulting_factor*TMR_avg_consultant_hourly_rate,0)</f>
        <v>13000</v>
      </c>
      <c r="E52" s="86">
        <f>ROUND((VHD_number_of_management_servers+VHD_number_of_access_infrastructure_servers)*VHD_consulting_factor*VHD_avg_consultant_hourly_rate,0)</f>
        <v>298000</v>
      </c>
      <c r="F52" s="86">
        <f>ROUND((OSS_number_of_management_servers+OSS_number_of_access_infrastructure_servers)*OSS_consulting_factor*OSS_avg_consultant_hourly_rate,0)</f>
        <v>91000</v>
      </c>
      <c r="G52" s="86">
        <f>ROUND((BPC_number_of_management_servers+BPC_number_of_access_infrastructure_servers)*BPC_consulting_factor*BPC_avg_consultant_hourly_rate,0)</f>
        <v>27000</v>
      </c>
      <c r="H52" s="86">
        <f>ROUND((AS_number_of_management_servers+AS_number_of_access_infrastructure_servers)*AS_consulting_factor*AS_avg_consultant_hourly_rate,0)</f>
        <v>51000</v>
      </c>
      <c r="J52" s="267"/>
      <c r="L52" s="288"/>
    </row>
    <row r="53" spans="1:8" ht="15">
      <c r="A53" s="4"/>
      <c r="B53" s="87" t="s">
        <v>41</v>
      </c>
      <c r="C53" s="88">
        <f aca="true" t="shared" si="11" ref="C53:H53">SUM(C51:C52)</f>
        <v>464265</v>
      </c>
      <c r="D53" s="88">
        <f t="shared" si="11"/>
        <v>33563</v>
      </c>
      <c r="E53" s="88">
        <f t="shared" si="11"/>
        <v>695336</v>
      </c>
      <c r="F53" s="88">
        <f t="shared" si="11"/>
        <v>255186</v>
      </c>
      <c r="G53" s="88">
        <f t="shared" si="11"/>
        <v>89954</v>
      </c>
      <c r="H53" s="88">
        <f t="shared" si="11"/>
        <v>192408</v>
      </c>
    </row>
    <row r="54" spans="1:10" ht="15">
      <c r="A54" s="268"/>
      <c r="B54" s="269"/>
      <c r="C54" s="268"/>
      <c r="D54" s="270"/>
      <c r="E54" s="270"/>
      <c r="F54" s="270"/>
      <c r="G54" s="268"/>
      <c r="H54" s="270"/>
      <c r="I54" s="271"/>
      <c r="J54" s="267"/>
    </row>
    <row r="55" spans="1:8" ht="15.75">
      <c r="A55" s="4"/>
      <c r="B55" s="89" t="s">
        <v>363</v>
      </c>
      <c r="C55" s="89"/>
      <c r="D55" s="62"/>
      <c r="E55" s="90"/>
      <c r="F55" s="19"/>
      <c r="G55" s="91"/>
      <c r="H55" s="19"/>
    </row>
    <row r="56" spans="1:8" ht="15">
      <c r="A56" s="4"/>
      <c r="B56" s="105" t="s">
        <v>259</v>
      </c>
      <c r="C56" s="185">
        <f>ROUNDUP(((TPS_total_manageability_cost-(0.05*TPS_total_manageability_cost))/TPS_average_IT_hourly_wage)/(8*TPS_workdays_per_year),0)</f>
        <v>27</v>
      </c>
      <c r="D56" s="170">
        <f>ROUNDUP(((TMR_total_manageability_cost-(TMR_total_manageability_cost*0.2))/TMR_average_IT_hourly_wage)/(8*TMR_workdays_per_year),0)</f>
        <v>47</v>
      </c>
      <c r="E56" s="170">
        <f>ROUNDUP(((VHD_total_manageability_cost-(VHD_total_manageability_cost*0.05))/VHD_average_IT_hourly_wage)/(8*VHD_workdays_per_year),0)</f>
        <v>29</v>
      </c>
      <c r="F56" s="170">
        <f>ROUNDUP(((OSS_total_manageability_cost-(OSS_total_manageability_cost*0.05))/OSS_average_IT_hourly_wage)/(8*OSS_workdays_per_year),0)</f>
        <v>30</v>
      </c>
      <c r="G56" s="170">
        <f>ROUNDUP(((BPC_total_manageability_cost-(BPC_total_manageability_cost*0.05))/BPC_average_IT_hourly_wage)/(8*BPC_workdays_per_year),0)</f>
        <v>23</v>
      </c>
      <c r="H56" s="170">
        <f>ROUNDUP(((AS_total_manageability_cost-(AS_total_manageability_cost*0.2))/AS_average_IT_hourly_wage)/(8*AS_workdays_per_year),0)</f>
        <v>27</v>
      </c>
    </row>
    <row r="57" spans="1:8" ht="15">
      <c r="A57" s="4"/>
      <c r="B57" s="92" t="s">
        <v>36</v>
      </c>
      <c r="C57" s="37">
        <f>ROUNDUP(TPS_num_clients/TPS_user_training_max,0)*TPS_user_training_hours*TPS_average_IT_hourly_wage</f>
        <v>63396.54</v>
      </c>
      <c r="D57" s="37">
        <f>ROUNDUP(TMR_num_clients/TMR_user_training_max,0)*TMR_user_training_hours*TMR_average_IT_hourly_wage</f>
        <v>0</v>
      </c>
      <c r="E57" s="37">
        <f>ROUNDUP(VHD_num_clients/VHD_user_training_max,0)*VHD_user_training_hours*VHD_average_IT_hourly_wage</f>
        <v>42264.36</v>
      </c>
      <c r="F57" s="37">
        <f>ROUNDUP(OSS_num_clients/OSS_user_training_max,0)*OSS_user_training_hours*OSS_average_IT_hourly_wage</f>
        <v>21132.18</v>
      </c>
      <c r="G57" s="37">
        <f>ROUNDUP(BPC_num_clients/BPC_user_training_max,0)*BPC_user_training_hours*BPC_average_IT_hourly_wage</f>
        <v>42264.36</v>
      </c>
      <c r="H57" s="37">
        <f>ROUNDUP(AS_num_clients/AS_user_training_max,0)*AS_user_training_hours*AS_average_IT_hourly_wage</f>
        <v>21132.18</v>
      </c>
    </row>
    <row r="58" spans="1:8" ht="15">
      <c r="A58" s="93"/>
      <c r="B58" s="92" t="s">
        <v>34</v>
      </c>
      <c r="C58" s="37">
        <f>ROUND((TPS_num_clients*TPS_average_hourly_wage*TPS_user_training_hours),0)</f>
        <v>1224600</v>
      </c>
      <c r="D58" s="37">
        <f>ROUND((TMR_num_clients*TMR_average_hourly_wage*TMR_user_training_hours),0)</f>
        <v>0</v>
      </c>
      <c r="E58" s="37">
        <f>ROUND((VHD_num_clients*VHD_average_hourly_wage*VHD_user_training_hours),0)</f>
        <v>816400</v>
      </c>
      <c r="F58" s="37">
        <f>ROUND((OSS_num_clients*OSS_average_hourly_wage*OSS_user_training_hours),0)</f>
        <v>408200</v>
      </c>
      <c r="G58" s="37">
        <f>ROUND((BPC_num_clients*BPC_average_hourly_wage*BPC_user_training_hours),0)</f>
        <v>816400</v>
      </c>
      <c r="H58" s="37">
        <f>ROUND((AS_num_clients*AS_average_hourly_wage*AS_user_training_hours),0)</f>
        <v>408200</v>
      </c>
    </row>
    <row r="59" spans="1:8" ht="15">
      <c r="A59" s="4"/>
      <c r="B59" s="92" t="s">
        <v>31</v>
      </c>
      <c r="C59" s="94">
        <f>ROUND((((TPS_admin_training_hours*TPS_average_IT_hourly_wage)+TPS_admin_training_oterh_expenses)+TPS_admin_training_base_cost)*ROUNDUP(TPS_num_admins*TPS_pct_admins_trained,0),0)</f>
        <v>271663</v>
      </c>
      <c r="D59" s="94">
        <f>ROUND((((TMR_admin_training_hours*TMR_average_IT_hourly_wage)+TMR_admin_training_oterh_expenses)+TMR_admin_training_base_cost)*ROUNDUP(TMR_num_admins*TMR_pct_admins_trained,0),0)</f>
        <v>0</v>
      </c>
      <c r="E59" s="94">
        <f>ROUND((((VHD_admin_training_hours*VHD_average_IT_hourly_wage)+VHD_admin_training_oterh_expenses)+VHD_admin_training_base_cost)*ROUNDUP(VHD_num_admins*VHD_pct_admins_trained,0),0)</f>
        <v>291786</v>
      </c>
      <c r="F59" s="94">
        <f>ROUND((((OSS_admin_training_hours*OSS_average_IT_hourly_wage)+OSS_admin_training_oterh_expenses)+OSS_admin_training_base_cost)*ROUNDUP(OSS_num_admins*OSS_pct_admins_trained,0),0)</f>
        <v>150924</v>
      </c>
      <c r="G59" s="94">
        <f>ROUND((((BPC_admin_training_hours*BPC_average_IT_hourly_wage)+BPC_admin_training_oterh_expenses)+BPC_admin_training_base_cost)*ROUNDUP(BPC_num_admins*BPC_pct_admins_trained,0),0)</f>
        <v>231417</v>
      </c>
      <c r="H59" s="94">
        <f>ROUND((((AS_admin_training_hours*AS_average_IT_hourly_wage)+AS_admin_training_oterh_expenses)+AS_admin_training_base_cost)*ROUNDUP(AS_num_admins*AS_pct_admins_trained,0),0)</f>
        <v>135832</v>
      </c>
    </row>
    <row r="60" spans="1:8" ht="15">
      <c r="A60" s="4"/>
      <c r="B60" s="95" t="s">
        <v>29</v>
      </c>
      <c r="C60" s="96">
        <f aca="true" t="shared" si="12" ref="C60:H60">SUM(C57:C59)</f>
        <v>1559659.54</v>
      </c>
      <c r="D60" s="96">
        <f t="shared" si="12"/>
        <v>0</v>
      </c>
      <c r="E60" s="96">
        <f t="shared" si="12"/>
        <v>1150450.3599999999</v>
      </c>
      <c r="F60" s="96">
        <f t="shared" si="12"/>
        <v>580256.1799999999</v>
      </c>
      <c r="G60" s="96">
        <f t="shared" si="12"/>
        <v>1090081.3599999999</v>
      </c>
      <c r="H60" s="96">
        <f t="shared" si="12"/>
        <v>565164.1799999999</v>
      </c>
    </row>
    <row r="61" spans="1:8" ht="15.75" customHeight="1">
      <c r="A61" s="4"/>
      <c r="B61" s="59"/>
      <c r="C61" s="59"/>
      <c r="D61" s="60"/>
      <c r="E61" s="60"/>
      <c r="F61" s="60"/>
      <c r="G61" s="59"/>
      <c r="H61" s="60"/>
    </row>
    <row r="62" spans="1:8" ht="15">
      <c r="A62" s="4"/>
      <c r="B62" s="283" t="s">
        <v>355</v>
      </c>
      <c r="C62" s="61"/>
      <c r="D62" s="62"/>
      <c r="E62" s="19"/>
      <c r="F62" s="19"/>
      <c r="G62" s="19"/>
      <c r="H62" s="19"/>
    </row>
    <row r="63" spans="1:9" s="282" customFormat="1" ht="15">
      <c r="A63" s="284"/>
      <c r="B63" s="285" t="s">
        <v>24</v>
      </c>
      <c r="C63" s="286">
        <f>ROUND(((TPS_num_apps*TPS_pct_apps_ported)*(TPS_porting_hours+TPS_app_test_time)*TPS_average_IT_hourly_wage)+(TPS_num_apps*TPS_average_IT_hourly_wage*TPS_app_test_time),0)</f>
        <v>507932</v>
      </c>
      <c r="D63" s="286">
        <f>ROUND(((TMR_num_apps*TMR_pct_apps_ported)*TMR_porting_hours*TMR_average_IT_hourly_wage)+(TMR_num_apps*TMR_average_IT_hourly_wage*TMR_app_test_time),0)</f>
        <v>37962</v>
      </c>
      <c r="E63" s="286">
        <f>ROUND(((VHD_num_apps*VHD_pct_apps_ported)*VHD_porting_hours*VHD_average_IT_hourly_wage)+(VHD_num_apps*VHD_average_IT_hourly_wage*VHD_app_test_time),0)</f>
        <v>208791</v>
      </c>
      <c r="F63" s="286">
        <f>ROUND(((OSS_num_apps*OSS_pct_apps_ported)*OSS_porting_hours*OSS_average_IT_hourly_wage)+(OSS_num_apps*OSS_average_IT_hourly_wage*OSS_app_test_time),0)</f>
        <v>227772</v>
      </c>
      <c r="G63" s="286">
        <f>ROUND(((BPC_num_apps*BPC_pct_apps_ported)*BPC_porting_hours*BPC_average_IT_hourly_wage)+(BPC_num_apps*BPC_average_IT_hourly_wage*BPC_app_test_time),0)</f>
        <v>189810</v>
      </c>
      <c r="H63" s="286">
        <f>ROUND(((AS_num_apps*AS_pct_apps_ported)*AS_porting_hours*AS_average_IT_hourly_wage)+(AS_num_apps*AS_average_IT_hourly_wage*AS_app_test_time),0)</f>
        <v>197402</v>
      </c>
      <c r="I63" s="281"/>
    </row>
    <row r="64" spans="1:8" ht="15">
      <c r="A64" s="4"/>
      <c r="B64" s="97" t="s">
        <v>21</v>
      </c>
      <c r="C64" s="69">
        <f>ROUND((TPS_num_apps*TPS_pct_app_replaced)*TPS_replacement_cost*TPS_num_clients,0)</f>
        <v>3000000</v>
      </c>
      <c r="D64" s="69">
        <f>ROUND((TMR_num_apps*TMR_pct_app_replaced)*TMR_replacement_cost*TMR_num_clients,0)</f>
        <v>0</v>
      </c>
      <c r="E64" s="69">
        <f>ROUND((VHD_num_apps*VHD_pct_app_replaced)*VHD_replacement_cost*VHD_num_clients,0)</f>
        <v>0</v>
      </c>
      <c r="F64" s="69">
        <f>ROUND((OSS_num_apps*OSS_pct_app_replaced)*OSS_replacement_cost*OSS_num_clients,0)</f>
        <v>0</v>
      </c>
      <c r="G64" s="69">
        <f>ROUND((BPC_num_apps*BPC_pct_app_replaced)*BPC_replacement_cost*BPC_num_clients,0)</f>
        <v>0</v>
      </c>
      <c r="H64" s="69">
        <f>ROUND((AS_num_apps*AS_pct_app_replaced)*AS_replacement_cost*AS_num_clients,0)</f>
        <v>0</v>
      </c>
    </row>
    <row r="65" spans="1:8" ht="15">
      <c r="A65" s="4"/>
      <c r="B65" s="80" t="s">
        <v>356</v>
      </c>
      <c r="C65" s="84">
        <f aca="true" t="shared" si="13" ref="C65:H65">SUM(C63:C64)</f>
        <v>3507932</v>
      </c>
      <c r="D65" s="84">
        <f t="shared" si="13"/>
        <v>37962</v>
      </c>
      <c r="E65" s="84">
        <f t="shared" si="13"/>
        <v>208791</v>
      </c>
      <c r="F65" s="84">
        <f t="shared" si="13"/>
        <v>227772</v>
      </c>
      <c r="G65" s="84">
        <f t="shared" si="13"/>
        <v>189810</v>
      </c>
      <c r="H65" s="84">
        <f t="shared" si="13"/>
        <v>197402</v>
      </c>
    </row>
    <row r="66" spans="1:10" ht="15">
      <c r="A66" s="46"/>
      <c r="B66" s="59"/>
      <c r="C66" s="59"/>
      <c r="D66" s="59"/>
      <c r="E66" s="59"/>
      <c r="F66" s="59"/>
      <c r="G66" s="59"/>
      <c r="H66" s="59"/>
      <c r="J66" s="267"/>
    </row>
    <row r="67" ht="15">
      <c r="I67" s="32"/>
    </row>
    <row r="68" ht="15">
      <c r="I68" s="32"/>
    </row>
    <row r="69" ht="15">
      <c r="I69" s="32"/>
    </row>
    <row r="70" ht="15">
      <c r="I70" s="32"/>
    </row>
    <row r="71" ht="15">
      <c r="I71" s="32"/>
    </row>
    <row r="72" ht="15">
      <c r="I72" s="32"/>
    </row>
    <row r="73" spans="9:17" ht="15">
      <c r="I73" s="32"/>
      <c r="Q73" s="3" t="s">
        <v>314</v>
      </c>
    </row>
    <row r="74" ht="15">
      <c r="I74" s="32"/>
    </row>
    <row r="75" spans="9:14" ht="15">
      <c r="I75" s="32"/>
      <c r="J75" s="287"/>
      <c r="N75" s="287"/>
    </row>
    <row r="76" ht="15">
      <c r="I76" s="32"/>
    </row>
    <row r="77" ht="15">
      <c r="I77" s="32"/>
    </row>
    <row r="78" ht="15">
      <c r="I78" s="32"/>
    </row>
    <row r="79" ht="15">
      <c r="I79" s="32"/>
    </row>
    <row r="80" ht="15">
      <c r="I80" s="32"/>
    </row>
    <row r="81" ht="15">
      <c r="I81" s="32"/>
    </row>
    <row r="82" ht="15">
      <c r="I82" s="32"/>
    </row>
    <row r="83" spans="9:14" ht="15">
      <c r="I83" s="32"/>
      <c r="J83" s="289"/>
      <c r="N83" s="289"/>
    </row>
    <row r="84" ht="15">
      <c r="I84" s="32"/>
    </row>
    <row r="85" ht="15">
      <c r="I85" s="32"/>
    </row>
    <row r="86" spans="9:14" ht="15">
      <c r="I86" s="32"/>
      <c r="J86" s="289"/>
      <c r="N86" s="289"/>
    </row>
    <row r="87" ht="15">
      <c r="I87" s="32"/>
    </row>
    <row r="88" ht="15">
      <c r="I88" s="3"/>
    </row>
    <row r="89" ht="15">
      <c r="I89" s="3"/>
    </row>
    <row r="90" ht="15">
      <c r="I90" s="3"/>
    </row>
    <row r="91" ht="15">
      <c r="I91" s="3"/>
    </row>
    <row r="92" ht="15">
      <c r="I92" s="3"/>
    </row>
    <row r="93" ht="15">
      <c r="I93" s="3"/>
    </row>
    <row r="94" ht="15">
      <c r="I94" s="3"/>
    </row>
    <row r="95" ht="15">
      <c r="I95" s="3"/>
    </row>
    <row r="96" ht="15">
      <c r="I96" s="3"/>
    </row>
    <row r="97" ht="15">
      <c r="I97" s="3"/>
    </row>
    <row r="98" ht="15">
      <c r="I98" s="3"/>
    </row>
    <row r="99" ht="15">
      <c r="I99" s="3"/>
    </row>
    <row r="100" ht="15">
      <c r="I100" s="3"/>
    </row>
    <row r="101" ht="15">
      <c r="I101" s="3"/>
    </row>
    <row r="102" ht="15">
      <c r="I102" s="3"/>
    </row>
    <row r="103" ht="15">
      <c r="I103" s="3"/>
    </row>
    <row r="104" ht="15">
      <c r="I104" s="3"/>
    </row>
  </sheetData>
  <sheetProtection sheet="1" objects="1" scenarios="1"/>
  <mergeCells count="1">
    <mergeCell ref="B1:C1"/>
  </mergeCells>
  <printOptions/>
  <pageMargins left="0.7" right="0.7" top="0.75" bottom="0.75" header="0.3" footer="0.3"/>
  <pageSetup fitToHeight="0" fitToWidth="1" horizontalDpi="600" verticalDpi="600" orientation="landscape" scale="80" r:id="rId2"/>
  <rowBreaks count="1" manualBreakCount="1">
    <brk id="28" max="255" man="1"/>
  </rowBreaks>
  <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IV29"/>
  <sheetViews>
    <sheetView zoomScalePageLayoutView="0" workbookViewId="0" topLeftCell="A1">
      <selection activeCell="A1" sqref="A1"/>
    </sheetView>
  </sheetViews>
  <sheetFormatPr defaultColWidth="9.140625" defaultRowHeight="15"/>
  <cols>
    <col min="1" max="1" width="3.7109375" style="3" customWidth="1"/>
    <col min="2" max="2" width="52.421875" style="3" customWidth="1"/>
    <col min="3" max="8" width="15.7109375" style="3" customWidth="1"/>
    <col min="9" max="16384" width="9.140625" style="3" customWidth="1"/>
  </cols>
  <sheetData>
    <row r="1" spans="1:9" ht="107.25" customHeight="1">
      <c r="A1" s="1"/>
      <c r="B1" s="351"/>
      <c r="C1" s="351"/>
      <c r="D1" s="48"/>
      <c r="E1" s="48"/>
      <c r="F1" s="2"/>
      <c r="G1" s="2"/>
      <c r="H1" s="2"/>
      <c r="I1" s="49"/>
    </row>
    <row r="2" spans="2:9" s="50" customFormat="1" ht="45">
      <c r="B2" s="61" t="s">
        <v>352</v>
      </c>
      <c r="C2" s="10" t="s">
        <v>204</v>
      </c>
      <c r="D2" s="10" t="s">
        <v>153</v>
      </c>
      <c r="E2" s="10" t="s">
        <v>140</v>
      </c>
      <c r="F2" s="10" t="s">
        <v>208</v>
      </c>
      <c r="G2" s="10" t="s">
        <v>150</v>
      </c>
      <c r="H2" s="10" t="s">
        <v>209</v>
      </c>
      <c r="I2" s="52"/>
    </row>
    <row r="3" spans="1:9" ht="15">
      <c r="A3" s="4"/>
      <c r="B3" s="53" t="s">
        <v>72</v>
      </c>
      <c r="C3" s="53">
        <f>ROUNDUP((TPS_number_of_access_infrastructure_servers+TPS_number_of_management_servers)/TPS_servers_per_rack,0)</f>
        <v>17</v>
      </c>
      <c r="D3" s="53">
        <f>ROUNDUP((TMR_number_of_access_infrastructure_servers+TMR_number_of_management_servers)/TMR_servers_per_rack,0)</f>
        <v>2</v>
      </c>
      <c r="E3" s="53">
        <f>ROUNDUP((VHD_number_of_access_infrastructure_servers+VHD_number_of_management_servers)/VHD_servers_per_rack,0)</f>
        <v>25</v>
      </c>
      <c r="F3" s="53">
        <f>ROUNDUP((OSS_number_of_access_infrastructure_servers+OSS_number_of_management_servers)/OSS_servers_per_rack,0)</f>
        <v>8</v>
      </c>
      <c r="G3" s="53">
        <f>(ROUNDUP((BPC_number_of_access_infrastructure_servers+BPC_number_of_management_servers)/BPC_servers_per_rack,0))+ROUNDUP(BPC_num_blade_racks,0)</f>
        <v>37</v>
      </c>
      <c r="H3" s="53">
        <f>ROUNDUP((AS_number_of_access_infrastructure_servers+AS_number_of_management_servers)/AS_servers_per_rack,0)</f>
        <v>5</v>
      </c>
      <c r="I3" s="49"/>
    </row>
    <row r="4" spans="1:10" ht="15">
      <c r="A4" s="1"/>
      <c r="B4" s="105" t="s">
        <v>110</v>
      </c>
      <c r="C4" s="330">
        <f>TPS_cost_per_sq_feet</f>
        <v>66.67</v>
      </c>
      <c r="D4" s="330">
        <f>TMR_cost_per_sq_feet</f>
        <v>66.67</v>
      </c>
      <c r="E4" s="330">
        <f>VHD_cost_per_sq_feet</f>
        <v>66.67</v>
      </c>
      <c r="F4" s="330">
        <f>OSS_cost_per_sq_feet</f>
        <v>66.67</v>
      </c>
      <c r="G4" s="330">
        <f>BPC_cost_per_sq_feet</f>
        <v>66.67</v>
      </c>
      <c r="H4" s="330">
        <f>AS_cost_per_sq_feet</f>
        <v>66.67</v>
      </c>
      <c r="I4" s="30"/>
      <c r="J4" s="263"/>
    </row>
    <row r="5" spans="1:10" ht="15">
      <c r="A5" s="1"/>
      <c r="B5" s="156" t="s">
        <v>61</v>
      </c>
      <c r="C5" s="331">
        <f>TPS_sq_feet_per_rack</f>
        <v>25</v>
      </c>
      <c r="D5" s="331">
        <f>TMR_sq_feet_per_rack</f>
        <v>25</v>
      </c>
      <c r="E5" s="331">
        <f>VHD_sq_feet_per_rack</f>
        <v>25</v>
      </c>
      <c r="F5" s="331">
        <f>OSS_sq_feet_per_rack</f>
        <v>25</v>
      </c>
      <c r="G5" s="331">
        <f>BPC_sq_feet_per_rack</f>
        <v>25</v>
      </c>
      <c r="H5" s="331">
        <f>AS_sq_feet_per_rack</f>
        <v>25</v>
      </c>
      <c r="I5" s="30"/>
      <c r="J5" s="332"/>
    </row>
    <row r="6" spans="1:10" ht="15">
      <c r="A6" s="1"/>
      <c r="B6" s="156" t="s">
        <v>318</v>
      </c>
      <c r="C6" s="333">
        <f>TPS_wiring_cost_per_rack</f>
        <v>300</v>
      </c>
      <c r="D6" s="333">
        <f>TMR_wiring_cost_per_rack</f>
        <v>300</v>
      </c>
      <c r="E6" s="333">
        <f>VHD_wiring_cost_per_rack</f>
        <v>300</v>
      </c>
      <c r="F6" s="333">
        <f>OSS_wiring_cost_per_rack</f>
        <v>300</v>
      </c>
      <c r="G6" s="333">
        <f>BPC_wiring_cost_per_rack</f>
        <v>300</v>
      </c>
      <c r="H6" s="333">
        <f>AS_wiring_cost_per_rack</f>
        <v>300</v>
      </c>
      <c r="I6" s="30"/>
      <c r="J6" s="334"/>
    </row>
    <row r="7" spans="1:10" ht="15">
      <c r="A7" s="1"/>
      <c r="B7" s="156" t="s">
        <v>317</v>
      </c>
      <c r="C7" s="333">
        <f>TPS_port_costs</f>
        <v>5400</v>
      </c>
      <c r="D7" s="333">
        <f>TMR_port_costs</f>
        <v>5400</v>
      </c>
      <c r="E7" s="333">
        <f>VHD_port_costs</f>
        <v>5400</v>
      </c>
      <c r="F7" s="333">
        <f>OSS_port_costs</f>
        <v>5400</v>
      </c>
      <c r="G7" s="333">
        <f>BPC_port_costs</f>
        <v>5400</v>
      </c>
      <c r="H7" s="333">
        <f>AS_port_costs</f>
        <v>5400</v>
      </c>
      <c r="I7" s="30"/>
      <c r="J7" s="334"/>
    </row>
    <row r="8" spans="1:10" ht="15">
      <c r="A8" s="1"/>
      <c r="B8" s="295" t="s">
        <v>319</v>
      </c>
      <c r="C8" s="333">
        <f>ROUND(C3*C4*C5*TPS_upgrade_cycle,0)</f>
        <v>113339</v>
      </c>
      <c r="D8" s="333">
        <f>ROUND(D3*D4*D5*TMR_upgrade_cycle,0)</f>
        <v>13334</v>
      </c>
      <c r="E8" s="333">
        <f>ROUND(E3*E4*E5*VHD_upgrade_cycle,0)</f>
        <v>166675</v>
      </c>
      <c r="F8" s="333">
        <f>ROUND(F3*F4*F5*OSS_upgrade_cycle,0)</f>
        <v>53336</v>
      </c>
      <c r="G8" s="333">
        <f>ROUND(G3*G4*G5*BPC_upgrade_cycle,0)</f>
        <v>246679</v>
      </c>
      <c r="H8" s="333">
        <f>ROUND(H3*H4*H5*AS_upgrade_cycle,0)</f>
        <v>33335</v>
      </c>
      <c r="I8" s="30"/>
      <c r="J8" s="334"/>
    </row>
    <row r="9" spans="1:10" ht="15">
      <c r="A9" s="1"/>
      <c r="B9" s="295" t="s">
        <v>320</v>
      </c>
      <c r="C9" s="333">
        <f>ROUND(C3*C7*TPS_upgrade_cycle,0)</f>
        <v>367200</v>
      </c>
      <c r="D9" s="333">
        <f>ROUND(D3*D7*TMR_upgrade_cycle,0)</f>
        <v>43200</v>
      </c>
      <c r="E9" s="333">
        <f>ROUND(E3*E7*VHD_upgrade_cycle,0)</f>
        <v>540000</v>
      </c>
      <c r="F9" s="333">
        <f>ROUND(F3*F7*OSS_upgrade_cycle,0)</f>
        <v>172800</v>
      </c>
      <c r="G9" s="333">
        <f>ROUND(G3*G7*BPC_upgrade_cycle,0)</f>
        <v>799200</v>
      </c>
      <c r="H9" s="333">
        <f>ROUND(H3*H7*AS_upgrade_cycle,0)</f>
        <v>108000</v>
      </c>
      <c r="I9" s="30"/>
      <c r="J9" s="334"/>
    </row>
    <row r="10" spans="1:10" ht="15">
      <c r="A10" s="1"/>
      <c r="B10" s="295" t="s">
        <v>321</v>
      </c>
      <c r="C10" s="333">
        <f>ROUND(C3*C6*TPS_upgrade_cycle,0)</f>
        <v>20400</v>
      </c>
      <c r="D10" s="333">
        <f>ROUND(D3*D6*TMR_upgrade_cycle,0)</f>
        <v>2400</v>
      </c>
      <c r="E10" s="333">
        <f>ROUND(E3*E6*VHD_upgrade_cycle,0)</f>
        <v>30000</v>
      </c>
      <c r="F10" s="333">
        <f>ROUND(F3*F6*OSS_upgrade_cycle,0)</f>
        <v>9600</v>
      </c>
      <c r="G10" s="333">
        <f>ROUND(G3*G6*BPC_upgrade_cycle,0)</f>
        <v>44400</v>
      </c>
      <c r="H10" s="333">
        <f>ROUND(H3*H6*AS_upgrade_cycle,0)</f>
        <v>6000</v>
      </c>
      <c r="I10" s="30"/>
      <c r="J10" s="334"/>
    </row>
    <row r="11" spans="1:256" ht="15">
      <c r="A11" s="4"/>
      <c r="B11" s="80" t="s">
        <v>49</v>
      </c>
      <c r="C11" s="84">
        <f aca="true" t="shared" si="0" ref="C11:H11">SUM(C8:C10)</f>
        <v>500939</v>
      </c>
      <c r="D11" s="84">
        <f t="shared" si="0"/>
        <v>58934</v>
      </c>
      <c r="E11" s="84">
        <f t="shared" si="0"/>
        <v>736675</v>
      </c>
      <c r="F11" s="84">
        <f t="shared" si="0"/>
        <v>235736</v>
      </c>
      <c r="G11" s="84">
        <f t="shared" si="0"/>
        <v>1090279</v>
      </c>
      <c r="H11" s="84">
        <f t="shared" si="0"/>
        <v>147335</v>
      </c>
      <c r="I11" s="49"/>
      <c r="IV11" s="3">
        <f>SUM(A11:IU11)</f>
        <v>2769898</v>
      </c>
    </row>
    <row r="13" spans="2:8" ht="30.75" customHeight="1">
      <c r="B13" s="33" t="s">
        <v>344</v>
      </c>
      <c r="C13" s="33"/>
      <c r="D13" s="19"/>
      <c r="E13" s="19"/>
      <c r="F13" s="19"/>
      <c r="G13" s="34"/>
      <c r="H13" s="19"/>
    </row>
    <row r="14" spans="2:8" ht="15">
      <c r="B14" s="303" t="s">
        <v>369</v>
      </c>
      <c r="C14" s="324">
        <f>Power!C42*TPS_upgrade_cycle</f>
        <v>2802080</v>
      </c>
      <c r="D14" s="324">
        <f>Power!D42*TMR_upgrade_cycle</f>
        <v>185852</v>
      </c>
      <c r="E14" s="324">
        <f>Power!E42*VHD_upgrade_cycle</f>
        <v>4260304</v>
      </c>
      <c r="F14" s="324">
        <f>Power!F42*OSS_upgrade_cycle</f>
        <v>1300964</v>
      </c>
      <c r="G14" s="324">
        <f>(Power!G33+Power!G42)*BPC_upgrade_cycle</f>
        <v>10589880</v>
      </c>
      <c r="H14" s="324">
        <f>Power!H42*AS_upgrade_cycle</f>
        <v>729112</v>
      </c>
    </row>
    <row r="15" spans="2:8" ht="15">
      <c r="B15" s="303" t="s">
        <v>327</v>
      </c>
      <c r="C15" s="325">
        <f>Power!C43</f>
        <v>1</v>
      </c>
      <c r="D15" s="325">
        <f>Power!D43</f>
        <v>1</v>
      </c>
      <c r="E15" s="325">
        <f>Power!E43</f>
        <v>1</v>
      </c>
      <c r="F15" s="325">
        <f>Power!F43</f>
        <v>1</v>
      </c>
      <c r="G15" s="326">
        <f>BPC_server_cooling</f>
        <v>1</v>
      </c>
      <c r="H15" s="325">
        <f>Power!H43</f>
        <v>1</v>
      </c>
    </row>
    <row r="16" spans="2:8" ht="15">
      <c r="B16" s="303" t="s">
        <v>370</v>
      </c>
      <c r="C16" s="324">
        <f>Power!C44*TPS_upgrade_cycle</f>
        <v>2802080</v>
      </c>
      <c r="D16" s="324">
        <f>Power!D44*TMR_upgrade_cycle</f>
        <v>185852</v>
      </c>
      <c r="E16" s="324">
        <f>Power!E44*VHD_upgrade_cycle</f>
        <v>4260304</v>
      </c>
      <c r="F16" s="324">
        <f>Power!F44*OSS_upgrade_cycle</f>
        <v>1300964</v>
      </c>
      <c r="G16" s="324">
        <f>(Power!G35+Power!G44)*BPC_upgrade_cycle</f>
        <v>10589880</v>
      </c>
      <c r="H16" s="324">
        <f>Power!H44</f>
        <v>182278</v>
      </c>
    </row>
    <row r="17" spans="2:8" ht="15">
      <c r="B17" s="303" t="s">
        <v>399</v>
      </c>
      <c r="C17" s="324">
        <f>Power!C45*TPS_upgrade_cycle</f>
        <v>5604160</v>
      </c>
      <c r="D17" s="324">
        <f>Power!D45*TMR_upgrade_cycle</f>
        <v>371704</v>
      </c>
      <c r="E17" s="324">
        <f>Power!E45*VHD_upgrade_cycle</f>
        <v>8520608</v>
      </c>
      <c r="F17" s="324">
        <f>Power!F45*OSS_upgrade_cycle</f>
        <v>2601928</v>
      </c>
      <c r="G17" s="324">
        <f>(Power!G36+Power!G45)*BPC_upgrade_cycle</f>
        <v>21179760</v>
      </c>
      <c r="H17" s="324">
        <f>Power!H45</f>
        <v>364556</v>
      </c>
    </row>
    <row r="18" spans="2:8" ht="15">
      <c r="B18" s="327" t="s">
        <v>380</v>
      </c>
      <c r="C18" s="328">
        <f>Power!C46</f>
        <v>0.08</v>
      </c>
      <c r="D18" s="328">
        <f>Power!D46</f>
        <v>0.08</v>
      </c>
      <c r="E18" s="328">
        <f>Power!E46</f>
        <v>0.08</v>
      </c>
      <c r="F18" s="328">
        <f>Power!F46</f>
        <v>0.08</v>
      </c>
      <c r="G18" s="329">
        <f>BPC_client_power_cost</f>
        <v>0.08</v>
      </c>
      <c r="H18" s="328">
        <f>Power!H46</f>
        <v>0.08</v>
      </c>
    </row>
    <row r="19" spans="2:8" ht="15">
      <c r="B19" s="319" t="s">
        <v>351</v>
      </c>
      <c r="C19" s="320">
        <f>Power!C47*TPS_upgrade_cycle</f>
        <v>448332</v>
      </c>
      <c r="D19" s="320">
        <f>Power!D47*TMR_upgrade_cycle</f>
        <v>29736</v>
      </c>
      <c r="E19" s="320">
        <f>Power!E47*VHD_upgrade_cycle</f>
        <v>681648</v>
      </c>
      <c r="F19" s="320">
        <f>Power!F47*OSS_upgrade_cycle</f>
        <v>208156</v>
      </c>
      <c r="G19" s="320">
        <f>(Power!G38+Power!G47)*BPC_upgrade_cycle</f>
        <v>1694380</v>
      </c>
      <c r="H19" s="320">
        <f>Power!H47</f>
        <v>29164</v>
      </c>
    </row>
    <row r="21" spans="2:8" ht="15">
      <c r="B21" s="353" t="s">
        <v>346</v>
      </c>
      <c r="C21" s="354"/>
      <c r="D21" s="354"/>
      <c r="E21" s="354"/>
      <c r="F21" s="354"/>
      <c r="G21" s="354"/>
      <c r="H21" s="354"/>
    </row>
    <row r="22" spans="1:10" ht="15">
      <c r="A22" s="1"/>
      <c r="B22" s="321" t="s">
        <v>349</v>
      </c>
      <c r="C22" s="335">
        <f aca="true" t="shared" si="1" ref="C22:H22">C8</f>
        <v>113339</v>
      </c>
      <c r="D22" s="335">
        <f t="shared" si="1"/>
        <v>13334</v>
      </c>
      <c r="E22" s="335">
        <f t="shared" si="1"/>
        <v>166675</v>
      </c>
      <c r="F22" s="335">
        <f t="shared" si="1"/>
        <v>53336</v>
      </c>
      <c r="G22" s="335">
        <f t="shared" si="1"/>
        <v>246679</v>
      </c>
      <c r="H22" s="335">
        <f t="shared" si="1"/>
        <v>33335</v>
      </c>
      <c r="I22" s="30"/>
      <c r="J22" s="334"/>
    </row>
    <row r="23" spans="1:10" ht="15">
      <c r="A23" s="1"/>
      <c r="B23" s="321" t="s">
        <v>348</v>
      </c>
      <c r="C23" s="335">
        <f aca="true" t="shared" si="2" ref="C23:H24">C9</f>
        <v>367200</v>
      </c>
      <c r="D23" s="335">
        <f t="shared" si="2"/>
        <v>43200</v>
      </c>
      <c r="E23" s="335">
        <f t="shared" si="2"/>
        <v>540000</v>
      </c>
      <c r="F23" s="335">
        <f t="shared" si="2"/>
        <v>172800</v>
      </c>
      <c r="G23" s="335">
        <f t="shared" si="2"/>
        <v>799200</v>
      </c>
      <c r="H23" s="335">
        <f t="shared" si="2"/>
        <v>108000</v>
      </c>
      <c r="I23" s="30"/>
      <c r="J23" s="334"/>
    </row>
    <row r="24" spans="1:10" ht="15">
      <c r="A24" s="1"/>
      <c r="B24" s="321" t="s">
        <v>347</v>
      </c>
      <c r="C24" s="335">
        <f t="shared" si="2"/>
        <v>20400</v>
      </c>
      <c r="D24" s="335">
        <f t="shared" si="2"/>
        <v>2400</v>
      </c>
      <c r="E24" s="335">
        <f t="shared" si="2"/>
        <v>30000</v>
      </c>
      <c r="F24" s="335">
        <f t="shared" si="2"/>
        <v>9600</v>
      </c>
      <c r="G24" s="335">
        <f t="shared" si="2"/>
        <v>44400</v>
      </c>
      <c r="H24" s="335">
        <f t="shared" si="2"/>
        <v>6000</v>
      </c>
      <c r="I24" s="30"/>
      <c r="J24" s="334"/>
    </row>
    <row r="25" spans="2:8" ht="15">
      <c r="B25" s="322" t="s">
        <v>345</v>
      </c>
      <c r="C25" s="323">
        <f aca="true" t="shared" si="3" ref="C25:H25">C19</f>
        <v>448332</v>
      </c>
      <c r="D25" s="323">
        <f t="shared" si="3"/>
        <v>29736</v>
      </c>
      <c r="E25" s="323">
        <f t="shared" si="3"/>
        <v>681648</v>
      </c>
      <c r="F25" s="323">
        <f t="shared" si="3"/>
        <v>208156</v>
      </c>
      <c r="G25" s="323">
        <f t="shared" si="3"/>
        <v>1694380</v>
      </c>
      <c r="H25" s="323">
        <f t="shared" si="3"/>
        <v>29164</v>
      </c>
    </row>
    <row r="26" spans="2:8" ht="15">
      <c r="B26" s="321" t="s">
        <v>350</v>
      </c>
      <c r="C26" s="336">
        <f aca="true" t="shared" si="4" ref="C26:H26">SUM(C22:C25)</f>
        <v>949271</v>
      </c>
      <c r="D26" s="336">
        <f t="shared" si="4"/>
        <v>88670</v>
      </c>
      <c r="E26" s="336">
        <f t="shared" si="4"/>
        <v>1418323</v>
      </c>
      <c r="F26" s="336">
        <f t="shared" si="4"/>
        <v>443892</v>
      </c>
      <c r="G26" s="336">
        <f t="shared" si="4"/>
        <v>2784659</v>
      </c>
      <c r="H26" s="336">
        <f t="shared" si="4"/>
        <v>176499</v>
      </c>
    </row>
    <row r="27" spans="2:8" ht="15">
      <c r="B27" s="306"/>
      <c r="C27" s="337"/>
      <c r="D27" s="337"/>
      <c r="E27" s="337"/>
      <c r="F27" s="337"/>
      <c r="G27" s="337"/>
      <c r="H27" s="337"/>
    </row>
    <row r="28" ht="15">
      <c r="B28" s="3" t="s">
        <v>342</v>
      </c>
    </row>
    <row r="29" ht="15">
      <c r="B29" s="3" t="s">
        <v>343</v>
      </c>
    </row>
  </sheetData>
  <sheetProtection sheet="1" objects="1" scenarios="1"/>
  <mergeCells count="2">
    <mergeCell ref="B1:C1"/>
    <mergeCell ref="B21:H21"/>
  </mergeCells>
  <printOptions/>
  <pageMargins left="0.7" right="0.7" top="0.75" bottom="0.75" header="0.3" footer="0.3"/>
  <pageSetup fitToHeight="0" fitToWidth="1" horizontalDpi="600" verticalDpi="600" orientation="landscape" scale="81" r:id="rId2"/>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I104"/>
  <sheetViews>
    <sheetView zoomScalePageLayoutView="0" workbookViewId="0" topLeftCell="A1">
      <selection activeCell="A1" sqref="A1"/>
    </sheetView>
  </sheetViews>
  <sheetFormatPr defaultColWidth="9.140625" defaultRowHeight="15"/>
  <cols>
    <col min="1" max="1" width="3.7109375" style="3" customWidth="1"/>
    <col min="2" max="2" width="52.421875" style="4" customWidth="1"/>
    <col min="3" max="8" width="15.7109375" style="4" customWidth="1"/>
    <col min="9" max="9" width="9.140625" style="4" customWidth="1"/>
    <col min="10" max="16384" width="9.140625" style="3" customWidth="1"/>
  </cols>
  <sheetData>
    <row r="1" spans="1:8" ht="107.25" customHeight="1">
      <c r="A1" s="1"/>
      <c r="B1" s="352"/>
      <c r="C1" s="352"/>
      <c r="D1" s="98"/>
      <c r="E1" s="99"/>
      <c r="F1" s="98"/>
      <c r="G1" s="98"/>
      <c r="H1" s="98"/>
    </row>
    <row r="2" spans="2:9" s="100" customFormat="1" ht="45">
      <c r="B2" s="51" t="s">
        <v>138</v>
      </c>
      <c r="C2" s="10" t="s">
        <v>204</v>
      </c>
      <c r="D2" s="10" t="s">
        <v>153</v>
      </c>
      <c r="E2" s="10" t="s">
        <v>140</v>
      </c>
      <c r="F2" s="10" t="s">
        <v>208</v>
      </c>
      <c r="G2" s="10" t="s">
        <v>150</v>
      </c>
      <c r="H2" s="10" t="s">
        <v>209</v>
      </c>
      <c r="I2" s="102"/>
    </row>
    <row r="3" spans="1:8" ht="15">
      <c r="A3" s="1"/>
      <c r="B3" s="126" t="s">
        <v>94</v>
      </c>
      <c r="C3" s="202">
        <f aca="true" t="shared" si="0" ref="C3:H3">C18</f>
        <v>198924</v>
      </c>
      <c r="D3" s="202">
        <f t="shared" si="0"/>
        <v>528432</v>
      </c>
      <c r="E3" s="202">
        <f t="shared" si="0"/>
        <v>198924</v>
      </c>
      <c r="F3" s="202">
        <f t="shared" si="0"/>
        <v>198924</v>
      </c>
      <c r="G3" s="202">
        <f t="shared" si="0"/>
        <v>198924</v>
      </c>
      <c r="H3" s="202">
        <f t="shared" si="0"/>
        <v>198924</v>
      </c>
    </row>
    <row r="4" spans="1:9" ht="15">
      <c r="A4" s="1"/>
      <c r="B4" s="126" t="s">
        <v>71</v>
      </c>
      <c r="C4" s="203">
        <f aca="true" t="shared" si="1" ref="C4:H4">C26</f>
        <v>127190</v>
      </c>
      <c r="D4" s="203">
        <f t="shared" si="1"/>
        <v>466396</v>
      </c>
      <c r="E4" s="203">
        <f t="shared" si="1"/>
        <v>127190</v>
      </c>
      <c r="F4" s="203">
        <f t="shared" si="1"/>
        <v>163856</v>
      </c>
      <c r="G4" s="203">
        <f t="shared" si="1"/>
        <v>127190</v>
      </c>
      <c r="H4" s="203">
        <f t="shared" si="1"/>
        <v>163856</v>
      </c>
      <c r="I4" s="49"/>
    </row>
    <row r="5" spans="1:8" ht="15">
      <c r="A5" s="1"/>
      <c r="B5" s="126" t="s">
        <v>60</v>
      </c>
      <c r="C5" s="203">
        <f aca="true" t="shared" si="2" ref="C5:H5">C31</f>
        <v>1792629</v>
      </c>
      <c r="D5" s="203">
        <f t="shared" si="2"/>
        <v>4745250</v>
      </c>
      <c r="E5" s="203">
        <f t="shared" si="2"/>
        <v>1792629</v>
      </c>
      <c r="F5" s="203">
        <f t="shared" si="2"/>
        <v>2372625</v>
      </c>
      <c r="G5" s="203">
        <f t="shared" si="2"/>
        <v>1792629</v>
      </c>
      <c r="H5" s="203">
        <f t="shared" si="2"/>
        <v>2794446</v>
      </c>
    </row>
    <row r="6" spans="1:8" ht="15">
      <c r="A6" s="1"/>
      <c r="B6" s="105" t="s">
        <v>158</v>
      </c>
      <c r="C6" s="203">
        <f aca="true" t="shared" si="3" ref="C6:H6">C40</f>
        <v>478000</v>
      </c>
      <c r="D6" s="203">
        <f t="shared" si="3"/>
        <v>704500</v>
      </c>
      <c r="E6" s="203">
        <f t="shared" si="3"/>
        <v>478000</v>
      </c>
      <c r="F6" s="203">
        <f t="shared" si="3"/>
        <v>505500</v>
      </c>
      <c r="G6" s="203">
        <f t="shared" si="3"/>
        <v>478000</v>
      </c>
      <c r="H6" s="203">
        <f t="shared" si="3"/>
        <v>583500</v>
      </c>
    </row>
    <row r="7" spans="1:8" ht="15">
      <c r="A7" s="1"/>
      <c r="B7" s="126" t="s">
        <v>127</v>
      </c>
      <c r="C7" s="203">
        <f aca="true" t="shared" si="4" ref="C7:H7">C44</f>
        <v>151800</v>
      </c>
      <c r="D7" s="203">
        <f t="shared" si="4"/>
        <v>474500</v>
      </c>
      <c r="E7" s="203">
        <f t="shared" si="4"/>
        <v>151800</v>
      </c>
      <c r="F7" s="203">
        <f t="shared" si="4"/>
        <v>177200</v>
      </c>
      <c r="G7" s="203">
        <f t="shared" si="4"/>
        <v>151800</v>
      </c>
      <c r="H7" s="203">
        <f t="shared" si="4"/>
        <v>177200</v>
      </c>
    </row>
    <row r="8" spans="1:8" ht="15">
      <c r="A8" s="1"/>
      <c r="B8" s="126" t="s">
        <v>30</v>
      </c>
      <c r="C8" s="203">
        <f aca="true" t="shared" si="5" ref="C8:H8">C48</f>
        <v>101200</v>
      </c>
      <c r="D8" s="203">
        <f t="shared" si="5"/>
        <v>259400</v>
      </c>
      <c r="E8" s="203">
        <f t="shared" si="5"/>
        <v>101200</v>
      </c>
      <c r="F8" s="203">
        <f t="shared" si="5"/>
        <v>107600</v>
      </c>
      <c r="G8" s="203">
        <f t="shared" si="5"/>
        <v>101200</v>
      </c>
      <c r="H8" s="203">
        <f t="shared" si="5"/>
        <v>107600</v>
      </c>
    </row>
    <row r="9" spans="1:8" ht="15">
      <c r="A9" s="1"/>
      <c r="B9" s="126" t="s">
        <v>20</v>
      </c>
      <c r="C9" s="203">
        <f aca="true" t="shared" si="6" ref="C9:H9">C53</f>
        <v>607600</v>
      </c>
      <c r="D9" s="203">
        <f t="shared" si="6"/>
        <v>40300</v>
      </c>
      <c r="E9" s="203">
        <f t="shared" si="6"/>
        <v>923800</v>
      </c>
      <c r="F9" s="203">
        <f t="shared" si="6"/>
        <v>282100</v>
      </c>
      <c r="G9" s="203">
        <f t="shared" si="6"/>
        <v>83700</v>
      </c>
      <c r="H9" s="203">
        <f t="shared" si="6"/>
        <v>158100</v>
      </c>
    </row>
    <row r="10" spans="1:8" ht="15">
      <c r="A10" s="1"/>
      <c r="B10" s="103" t="s">
        <v>123</v>
      </c>
      <c r="C10" s="204">
        <f aca="true" t="shared" si="7" ref="C10:H10">SUM(C3:C9)</f>
        <v>3457343</v>
      </c>
      <c r="D10" s="204">
        <f t="shared" si="7"/>
        <v>7218778</v>
      </c>
      <c r="E10" s="204">
        <f t="shared" si="7"/>
        <v>3773543</v>
      </c>
      <c r="F10" s="204">
        <f t="shared" si="7"/>
        <v>3807805</v>
      </c>
      <c r="G10" s="204">
        <f t="shared" si="7"/>
        <v>2933443</v>
      </c>
      <c r="H10" s="204">
        <f t="shared" si="7"/>
        <v>4183626</v>
      </c>
    </row>
    <row r="11" spans="1:8" ht="15">
      <c r="A11" s="1"/>
      <c r="D11" s="81"/>
      <c r="E11" s="81"/>
      <c r="F11" s="81"/>
      <c r="H11" s="81"/>
    </row>
    <row r="12" spans="1:8" ht="15">
      <c r="A12" s="1"/>
      <c r="B12" s="33" t="s">
        <v>116</v>
      </c>
      <c r="C12" s="33"/>
      <c r="D12" s="19"/>
      <c r="E12" s="19"/>
      <c r="F12" s="19"/>
      <c r="G12" s="34"/>
      <c r="H12" s="19"/>
    </row>
    <row r="13" spans="1:8" ht="15">
      <c r="A13" s="1"/>
      <c r="B13" s="126" t="s">
        <v>113</v>
      </c>
      <c r="C13" s="205">
        <f>ROUND(TPS_num_clients*TPS_inv_succ_rate,0)</f>
        <v>9800</v>
      </c>
      <c r="D13" s="205">
        <f>ROUND(TMR_num_clients*TMR_inv_succ_rate,0)</f>
        <v>8400</v>
      </c>
      <c r="E13" s="205">
        <f>ROUND(VHD_num_clients*VHD_inv_succ_rate,0)</f>
        <v>9800</v>
      </c>
      <c r="F13" s="205">
        <f>ROUND(OSS_num_clients*OSS_inv_succ_rate,0)</f>
        <v>9800</v>
      </c>
      <c r="G13" s="205">
        <f>ROUND(BPC_num_clients*BPC_inv_succ_rate,0)</f>
        <v>9800</v>
      </c>
      <c r="H13" s="205">
        <f>ROUND(AS_num_clients*AS_inv_succ_rate,0)</f>
        <v>9800</v>
      </c>
    </row>
    <row r="14" spans="1:8" ht="15">
      <c r="A14" s="1"/>
      <c r="B14" s="126" t="s">
        <v>111</v>
      </c>
      <c r="C14" s="127">
        <f>ROUND(TPS_num_clients*(1-TPS_inv_succ_rate),0)</f>
        <v>200</v>
      </c>
      <c r="D14" s="127">
        <f>ROUND(TMR_num_clients*(1-TMR_inv_succ_rate),0)</f>
        <v>1600</v>
      </c>
      <c r="E14" s="127">
        <f>ROUND(VHD_num_clients*(1-VHD_inv_succ_rate),0)</f>
        <v>200</v>
      </c>
      <c r="F14" s="127">
        <f>ROUND(OSS_num_clients*(1-OSS_inv_succ_rate),0)</f>
        <v>200</v>
      </c>
      <c r="G14" s="127">
        <f>ROUND(BPC_num_clients*(1-BPC_inv_succ_rate),0)</f>
        <v>200</v>
      </c>
      <c r="H14" s="127">
        <f>ROUND(AS_num_clients*(1-AS_inv_succ_rate),0)</f>
        <v>200</v>
      </c>
    </row>
    <row r="15" spans="1:8" ht="15">
      <c r="A15" s="1"/>
      <c r="B15" s="126" t="s">
        <v>107</v>
      </c>
      <c r="C15" s="206">
        <f>ROUND(TPS_inventory_remote_hours_client*C13*TPS_average_IT_hourly_wage,0)</f>
        <v>12401</v>
      </c>
      <c r="D15" s="206">
        <f>ROUND(TMR_inventory_remote_hours_client*D13*TMR_average_IT_hourly_wage,0)</f>
        <v>10629</v>
      </c>
      <c r="E15" s="206">
        <f>ROUND(VHD_inventory_remote_hours_client*E13*VHD_average_IT_hourly_wage,0)</f>
        <v>12401</v>
      </c>
      <c r="F15" s="206">
        <f>ROUND(OSS_inventory_remote_hours_client*F13*OSS_average_IT_hourly_wage,0)</f>
        <v>12401</v>
      </c>
      <c r="G15" s="206">
        <f>ROUND(BPC_inventory_remote_hours_client*G13*BPC_average_IT_hourly_wage,0)</f>
        <v>12401</v>
      </c>
      <c r="H15" s="206">
        <f>ROUND(AS_inventory_remote_hours_client*H13*AS_average_IT_hourly_wage,0)</f>
        <v>12401</v>
      </c>
    </row>
    <row r="16" spans="1:8" ht="15">
      <c r="A16" s="1"/>
      <c r="B16" s="126" t="s">
        <v>103</v>
      </c>
      <c r="C16" s="207">
        <f>ROUND(TPS_inventory_manual_hours_client*C14*TPS_average_IT_hourly_wage,0)</f>
        <v>4176</v>
      </c>
      <c r="D16" s="207">
        <f>ROUND(TMR_inventory_manual_hours_client*D14*TMR_average_IT_hourly_wage,0)</f>
        <v>33407</v>
      </c>
      <c r="E16" s="207">
        <f>ROUND(VHD_inventory_manual_hours_client*E14*VHD_average_IT_hourly_wage,0)</f>
        <v>4176</v>
      </c>
      <c r="F16" s="207">
        <f>ROUND(OSS_inventory_manual_hours_client*F14*OSS_average_IT_hourly_wage,0)</f>
        <v>4176</v>
      </c>
      <c r="G16" s="207">
        <f>ROUND(BPC_inventory_manual_hours_client*G14*BPC_average_IT_hourly_wage,0)</f>
        <v>4176</v>
      </c>
      <c r="H16" s="207">
        <f>ROUND(AS_inventory_manual_hours_client*H14*AS_average_IT_hourly_wage,0)</f>
        <v>4176</v>
      </c>
    </row>
    <row r="17" spans="1:8" ht="15">
      <c r="A17" s="1"/>
      <c r="B17" s="126" t="s">
        <v>98</v>
      </c>
      <c r="C17" s="207">
        <f aca="true" t="shared" si="8" ref="C17:H17">SUM(C15:C16)</f>
        <v>16577</v>
      </c>
      <c r="D17" s="207">
        <f t="shared" si="8"/>
        <v>44036</v>
      </c>
      <c r="E17" s="207">
        <f t="shared" si="8"/>
        <v>16577</v>
      </c>
      <c r="F17" s="207">
        <f t="shared" si="8"/>
        <v>16577</v>
      </c>
      <c r="G17" s="207">
        <f t="shared" si="8"/>
        <v>16577</v>
      </c>
      <c r="H17" s="207">
        <f t="shared" si="8"/>
        <v>16577</v>
      </c>
    </row>
    <row r="18" spans="1:8" ht="15">
      <c r="A18" s="1"/>
      <c r="B18" s="129" t="s">
        <v>94</v>
      </c>
      <c r="C18" s="208">
        <f>ROUND(C17*TPS_num_inventories_year,0)</f>
        <v>198924</v>
      </c>
      <c r="D18" s="208">
        <f>ROUND(D17*TMR_num_inventories_year,0)</f>
        <v>528432</v>
      </c>
      <c r="E18" s="208">
        <f>ROUND(E17*VHD_num_inventories_year,0)</f>
        <v>198924</v>
      </c>
      <c r="F18" s="208">
        <f>ROUND(F17*OSS_num_inventories_year,0)</f>
        <v>198924</v>
      </c>
      <c r="G18" s="208">
        <f>ROUND(G17*BPC_num_inventories_year,0)</f>
        <v>198924</v>
      </c>
      <c r="H18" s="208">
        <f>ROUND(H17*AS_num_inventories_year,0)</f>
        <v>198924</v>
      </c>
    </row>
    <row r="19" spans="1:8" ht="15">
      <c r="A19" s="1"/>
      <c r="D19" s="81"/>
      <c r="E19" s="81"/>
      <c r="F19" s="81"/>
      <c r="H19" s="81"/>
    </row>
    <row r="20" spans="1:8" ht="15">
      <c r="A20" s="1"/>
      <c r="B20" s="33" t="s">
        <v>92</v>
      </c>
      <c r="C20" s="33"/>
      <c r="D20" s="19"/>
      <c r="E20" s="19"/>
      <c r="F20" s="19"/>
      <c r="G20" s="34"/>
      <c r="H20" s="19"/>
    </row>
    <row r="21" spans="1:8" ht="15">
      <c r="A21" s="1"/>
      <c r="B21" s="126" t="s">
        <v>90</v>
      </c>
      <c r="C21" s="127">
        <f>TPS_scheduled_patch_year+TPS_unscheduled_patch_year</f>
        <v>14</v>
      </c>
      <c r="D21" s="127">
        <f>TMR_scheduled_patch_year+TMR_unscheduled_patch_year</f>
        <v>14</v>
      </c>
      <c r="E21" s="127">
        <f>VHD_scheduled_patch_year+VHD_unscheduled_patch_year</f>
        <v>14</v>
      </c>
      <c r="F21" s="127">
        <f>OSS_scheduled_patch_year+OSS_unscheduled_patch_year</f>
        <v>14</v>
      </c>
      <c r="G21" s="127">
        <f>BPC_scheduled_patch_year+BPC_unscheduled_patch_year</f>
        <v>14</v>
      </c>
      <c r="H21" s="127">
        <f>AS_scheduled_patch_year+AS_unscheduled_patch_year</f>
        <v>14</v>
      </c>
    </row>
    <row r="22" spans="1:8" ht="15">
      <c r="A22" s="1"/>
      <c r="B22" s="126" t="s">
        <v>86</v>
      </c>
      <c r="C22" s="206">
        <f>ROUND(TPS_patch_prep_hours*TPS_average_IT_hourly_wage*TPS_num_clients/10000,0)</f>
        <v>3670</v>
      </c>
      <c r="D22" s="206">
        <f>ROUND(TMR_patch_prep_hours*TMR_average_IT_hourly_wage*TMR_num_clients/10000,0)</f>
        <v>3670</v>
      </c>
      <c r="E22" s="206">
        <f>ROUND(VHD_patch_prep_hours*VHD_average_IT_hourly_wage*VHD_num_clients/10000,0)</f>
        <v>3670</v>
      </c>
      <c r="F22" s="206">
        <f>ROUND(OSS_patch_prep_hours*OSS_average_IT_hourly_wage*OSS_num_clients/10000,0)</f>
        <v>3670</v>
      </c>
      <c r="G22" s="206">
        <f>ROUND(BPC_patch_prep_hours*BPC_average_IT_hourly_wage*BPC_num_clients/10000,0)</f>
        <v>3670</v>
      </c>
      <c r="H22" s="206">
        <f>ROUND(AS_patch_prep_hours*AS_average_IT_hourly_wage*AS_num_clients/10000,0)</f>
        <v>3670</v>
      </c>
    </row>
    <row r="23" spans="1:8" ht="15">
      <c r="A23" s="1"/>
      <c r="B23" s="126" t="s">
        <v>84</v>
      </c>
      <c r="C23" s="206">
        <f>ROUND(TPS_patch_remote_hours*TPS_average_IT_hourly_wage,0)</f>
        <v>176</v>
      </c>
      <c r="D23" s="206">
        <f>ROUND(TMR_patch_remote_hours*TMR_average_IT_hourly_wage,0)</f>
        <v>176</v>
      </c>
      <c r="E23" s="206">
        <f>ROUND(VHD_patch_remote_hours*VHD_average_IT_hourly_wage,0)</f>
        <v>176</v>
      </c>
      <c r="F23" s="206">
        <f>ROUND(OSS_patch_remote_hours*OSS_average_IT_hourly_wage,0)</f>
        <v>176</v>
      </c>
      <c r="G23" s="206">
        <f>ROUND(BPC_patch_remote_hours*BPC_average_IT_hourly_wage,0)</f>
        <v>176</v>
      </c>
      <c r="H23" s="206">
        <f>ROUND(AS_patch_remote_hours*AS_average_IT_hourly_wage,0)</f>
        <v>176</v>
      </c>
    </row>
    <row r="24" spans="1:8" ht="15">
      <c r="A24" s="1"/>
      <c r="B24" s="126" t="s">
        <v>80</v>
      </c>
      <c r="C24" s="207">
        <f>ROUND(((TPS_num_clients*(1-TPS_patch_pct_successful))*TPS_patch_manual_hours*TPS_average_IT_hourly_wage)*0.6,0)</f>
        <v>5239</v>
      </c>
      <c r="D24" s="207">
        <f>ROUND(((TMR_num_clients*(1-TMR_patch_pct_successful))*TMR_patch_manual_hours*TMR_average_IT_hourly_wage)*0.9,0)</f>
        <v>29468</v>
      </c>
      <c r="E24" s="207">
        <f>ROUND(((VHD_num_clients*(1-VHD_patch_pct_successful))*VHD_patch_manual_hours*VHD_average_IT_hourly_wage)*0.6,0)</f>
        <v>5239</v>
      </c>
      <c r="F24" s="207">
        <f>ROUND(((OSS_num_clients*(1-OSS_patch_pct_successful))*OSS_patch_manual_hours*OSS_average_IT_hourly_wage)*0.9,0)</f>
        <v>7858</v>
      </c>
      <c r="G24" s="207">
        <f>ROUND(((BPC_num_clients*(1-BPC_patch_pct_successful))*BPC_patch_manual_hours*BPC_average_IT_hourly_wage)*0.6,0)</f>
        <v>5239</v>
      </c>
      <c r="H24" s="207">
        <f>ROUND(((AS_num_clients*(1-AS_patch_pct_successful))*AS_patch_manual_hours*AS_average_IT_hourly_wage)*0.9,0)</f>
        <v>7858</v>
      </c>
    </row>
    <row r="25" spans="1:8" ht="15">
      <c r="A25" s="1"/>
      <c r="B25" s="126" t="s">
        <v>75</v>
      </c>
      <c r="C25" s="207">
        <f aca="true" t="shared" si="9" ref="C25:H25">SUM(C22:C24)</f>
        <v>9085</v>
      </c>
      <c r="D25" s="207">
        <f t="shared" si="9"/>
        <v>33314</v>
      </c>
      <c r="E25" s="207">
        <f t="shared" si="9"/>
        <v>9085</v>
      </c>
      <c r="F25" s="207">
        <f t="shared" si="9"/>
        <v>11704</v>
      </c>
      <c r="G25" s="207">
        <f t="shared" si="9"/>
        <v>9085</v>
      </c>
      <c r="H25" s="207">
        <f t="shared" si="9"/>
        <v>11704</v>
      </c>
    </row>
    <row r="26" spans="1:8" ht="15">
      <c r="A26" s="1"/>
      <c r="B26" s="129" t="s">
        <v>71</v>
      </c>
      <c r="C26" s="208">
        <f aca="true" t="shared" si="10" ref="C26:H26">ROUND(C25*C21,0)</f>
        <v>127190</v>
      </c>
      <c r="D26" s="208">
        <f t="shared" si="10"/>
        <v>466396</v>
      </c>
      <c r="E26" s="208">
        <f t="shared" si="10"/>
        <v>127190</v>
      </c>
      <c r="F26" s="208">
        <f t="shared" si="10"/>
        <v>163856</v>
      </c>
      <c r="G26" s="208">
        <f t="shared" si="10"/>
        <v>127190</v>
      </c>
      <c r="H26" s="208">
        <f t="shared" si="10"/>
        <v>163856</v>
      </c>
    </row>
    <row r="27" spans="1:8" ht="15">
      <c r="A27" s="1"/>
      <c r="D27" s="81"/>
      <c r="E27" s="81"/>
      <c r="F27" s="81"/>
      <c r="H27" s="81"/>
    </row>
    <row r="28" spans="1:8" ht="15">
      <c r="A28" s="1"/>
      <c r="B28" s="33" t="s">
        <v>65</v>
      </c>
      <c r="C28" s="33"/>
      <c r="D28" s="19"/>
      <c r="E28" s="19"/>
      <c r="F28" s="19"/>
      <c r="G28" s="34"/>
      <c r="H28" s="19"/>
    </row>
    <row r="29" spans="1:8" ht="15">
      <c r="A29" s="1"/>
      <c r="B29" s="126" t="s">
        <v>63</v>
      </c>
      <c r="C29" s="127">
        <f>ROUND(TPS_client_calls_year*TPS_num_clients,0)</f>
        <v>50000</v>
      </c>
      <c r="D29" s="127">
        <f>ROUND(TMR_client_calls_year*TMR_num_clients,0)</f>
        <v>50000</v>
      </c>
      <c r="E29" s="127">
        <f>ROUND(VHD_client_calls_year*VHD_num_clients,0)</f>
        <v>50000</v>
      </c>
      <c r="F29" s="127">
        <f>ROUND(OSS_client_calls_year*OSS_num_clients,0)</f>
        <v>50000</v>
      </c>
      <c r="G29" s="232">
        <f>ROUND(BPC_client_calls_year*BPC_num_clients,0)</f>
        <v>50000</v>
      </c>
      <c r="H29" s="127">
        <f>ROUND(AS_client_calls_year*AS_num_clients,0)</f>
        <v>50000</v>
      </c>
    </row>
    <row r="30" spans="1:8" ht="15">
      <c r="A30" s="1"/>
      <c r="B30" s="126" t="s">
        <v>62</v>
      </c>
      <c r="C30" s="130">
        <f>ROUND(C29*(TPS_minutes_per_call/60),0)</f>
        <v>28333</v>
      </c>
      <c r="D30" s="130">
        <f>ROUND(D29*(TMR_minutes_per_call/60),0)</f>
        <v>75000</v>
      </c>
      <c r="E30" s="130">
        <f>ROUND(E29*(VHD_minutes_per_call/60),0)</f>
        <v>28333</v>
      </c>
      <c r="F30" s="130">
        <f>ROUND(F29*(OSS_minutes_per_call/60),0)</f>
        <v>37500</v>
      </c>
      <c r="G30" s="232">
        <f>ROUND(G29*(BPC_minutes_per_call/60),0)</f>
        <v>28333</v>
      </c>
      <c r="H30" s="130">
        <f>ROUND(H29*(AS_minutes_per_call/60),0)</f>
        <v>44167</v>
      </c>
    </row>
    <row r="31" spans="1:8" ht="15">
      <c r="A31" s="1"/>
      <c r="B31" s="129" t="s">
        <v>60</v>
      </c>
      <c r="C31" s="208">
        <f>ROUND(C30*TPS_average_IT_hourly_wage,0)</f>
        <v>1792629</v>
      </c>
      <c r="D31" s="208">
        <f>ROUND(D30*TMR_average_IT_hourly_wage,0)</f>
        <v>4745250</v>
      </c>
      <c r="E31" s="208">
        <f>ROUND(E30*VHD_average_IT_hourly_wage,0)</f>
        <v>1792629</v>
      </c>
      <c r="F31" s="208">
        <f>ROUND(F30*OSS_average_IT_hourly_wage,0)</f>
        <v>2372625</v>
      </c>
      <c r="G31" s="208">
        <f>ROUND(G30*BPC_average_IT_hourly_wage,0)</f>
        <v>1792629</v>
      </c>
      <c r="H31" s="208">
        <f>ROUND(H30*AS_average_IT_hourly_wage,0)</f>
        <v>2794446</v>
      </c>
    </row>
    <row r="32" spans="1:8" ht="15">
      <c r="A32" s="1"/>
      <c r="D32" s="81"/>
      <c r="E32" s="81"/>
      <c r="F32" s="131"/>
      <c r="H32" s="81"/>
    </row>
    <row r="33" spans="1:8" ht="15">
      <c r="A33" s="1"/>
      <c r="B33" s="132" t="s">
        <v>159</v>
      </c>
      <c r="C33" s="33"/>
      <c r="D33" s="19"/>
      <c r="E33" s="19"/>
      <c r="F33" s="19"/>
      <c r="G33" s="34"/>
      <c r="H33" s="19"/>
    </row>
    <row r="34" spans="1:8" ht="15">
      <c r="A34" s="1"/>
      <c r="B34" s="133" t="s">
        <v>57</v>
      </c>
      <c r="C34" s="207">
        <f>ROUND(TPS_client_move_minutes/60*TPS_average_IT_hourly_wage,0)</f>
        <v>111</v>
      </c>
      <c r="D34" s="207">
        <f>ROUND(TMR_client_move_minutes/60*TMR_average_IT_hourly_wage,0)</f>
        <v>169</v>
      </c>
      <c r="E34" s="207">
        <f>ROUND(VHD_client_move_minutes/60*VHD_average_IT_hourly_wage,0)</f>
        <v>111</v>
      </c>
      <c r="F34" s="207">
        <f>ROUND(OSS_client_move_minutes/60*OSS_average_IT_hourly_wage,0)</f>
        <v>116</v>
      </c>
      <c r="G34" s="207">
        <f>ROUND(BPC_client_move_minutes/60*BPC_average_IT_hourly_wage,0)</f>
        <v>111</v>
      </c>
      <c r="H34" s="207">
        <f>ROUND(AS_client_move_minutes/60*AS_average_IT_hourly_wage,0)</f>
        <v>142</v>
      </c>
    </row>
    <row r="35" spans="1:8" ht="15">
      <c r="A35" s="1"/>
      <c r="B35" s="133" t="s">
        <v>56</v>
      </c>
      <c r="C35" s="207">
        <f>ROUND(TPS_client_add_minutes/60*TPS_average_IT_hourly_wage,0)</f>
        <v>111</v>
      </c>
      <c r="D35" s="207">
        <f>ROUND(TMR_client_add_minutes/60*TMR_average_IT_hourly_wage,0)</f>
        <v>169</v>
      </c>
      <c r="E35" s="207">
        <f>ROUND(VHD_client_add_minutes/60*VHD_average_IT_hourly_wage,0)</f>
        <v>111</v>
      </c>
      <c r="F35" s="207">
        <f>ROUND(OSS_client_add_minutes/60*OSS_average_IT_hourly_wage,0)</f>
        <v>116</v>
      </c>
      <c r="G35" s="207">
        <f>ROUND(BPC_client_add_minutes/60*BPC_average_IT_hourly_wage,0)</f>
        <v>111</v>
      </c>
      <c r="H35" s="207">
        <f>ROUND(AS_client_add_minutes/60*AS_average_IT_hourly_wage,0)</f>
        <v>142</v>
      </c>
    </row>
    <row r="36" spans="1:8" ht="15">
      <c r="A36" s="1"/>
      <c r="B36" s="133" t="s">
        <v>53</v>
      </c>
      <c r="C36" s="207">
        <f>ROUND(TPS_client_delete_minutes/60*TPS_average_IT_hourly_wage,0)</f>
        <v>58</v>
      </c>
      <c r="D36" s="207">
        <f>ROUND(TMR_client_delete_minutes/60*TMR_average_IT_hourly_wage,0)</f>
        <v>79</v>
      </c>
      <c r="E36" s="207">
        <f>ROUND(VHD_client_delete_minutes/60*VHD_average_IT_hourly_wage,0)</f>
        <v>58</v>
      </c>
      <c r="F36" s="207">
        <f>ROUND(OSS_client_delete_minutes/60*OSS_average_IT_hourly_wage,0)</f>
        <v>63</v>
      </c>
      <c r="G36" s="207">
        <f>ROUND(BPC_client_delete_minutes/60*BPC_average_IT_hourly_wage,0)</f>
        <v>58</v>
      </c>
      <c r="H36" s="207">
        <f>ROUND(AS_client_delete_minutes/60*AS_average_IT_hourly_wage,0)</f>
        <v>63</v>
      </c>
    </row>
    <row r="37" spans="1:8" ht="15">
      <c r="A37" s="1"/>
      <c r="B37" s="126" t="s">
        <v>51</v>
      </c>
      <c r="C37" s="206">
        <f>ROUND(C34*TPS_num_clients*TPS_clients_pct_moved,0)</f>
        <v>55500</v>
      </c>
      <c r="D37" s="206">
        <f>ROUND(D34*TMR_num_clients*TMR_clients_pct_moved,0)</f>
        <v>84500</v>
      </c>
      <c r="E37" s="206">
        <f>ROUND(E34*VHD_num_clients*VHD_clients_pct_moved,0)</f>
        <v>55500</v>
      </c>
      <c r="F37" s="206">
        <f>ROUND(F34*OSS_num_clients*OSS_clients_pct_moved,0)</f>
        <v>58000</v>
      </c>
      <c r="G37" s="206">
        <f>ROUND(G34*BPC_num_clients*BPC_clients_pct_moved,0)</f>
        <v>55500</v>
      </c>
      <c r="H37" s="206">
        <f>ROUND(H34*AS_num_clients*AS_clients_pct_moved,0)</f>
        <v>71000</v>
      </c>
    </row>
    <row r="38" spans="1:8" ht="15">
      <c r="A38" s="1"/>
      <c r="B38" s="126" t="s">
        <v>48</v>
      </c>
      <c r="C38" s="209">
        <f>ROUND(C35*TPS_num_clients*TPS_clients_pct_added,0)</f>
        <v>277500</v>
      </c>
      <c r="D38" s="209">
        <f>ROUND(D35*TMR_num_clients*TMR_clients_pct_added,0)</f>
        <v>422500</v>
      </c>
      <c r="E38" s="209">
        <f>ROUND(E35*VHD_num_clients*VHD_clients_pct_added,0)</f>
        <v>277500</v>
      </c>
      <c r="F38" s="209">
        <f>ROUND(F35*OSS_num_clients*OSS_clients_pct_added,0)</f>
        <v>290000</v>
      </c>
      <c r="G38" s="209">
        <f>ROUND(G35*BPC_num_clients*BPC_clients_pct_added,0)</f>
        <v>277500</v>
      </c>
      <c r="H38" s="209">
        <f>ROUND(H35*AS_num_clients*AS_clients_pct_added,0)</f>
        <v>355000</v>
      </c>
    </row>
    <row r="39" spans="1:8" ht="15">
      <c r="A39" s="1"/>
      <c r="B39" s="126" t="s">
        <v>46</v>
      </c>
      <c r="C39" s="206">
        <f>ROUND(C36*TPS_num_clients*TPS_clients_pct_deleted,0)</f>
        <v>145000</v>
      </c>
      <c r="D39" s="206">
        <f>ROUND(D36*TMR_num_clients*TMR_clients_pct_deleted,0)</f>
        <v>197500</v>
      </c>
      <c r="E39" s="206">
        <f>ROUND(E36*VHD_num_clients*VHD_clients_pct_deleted,0)</f>
        <v>145000</v>
      </c>
      <c r="F39" s="206">
        <f>ROUND(F36*OSS_num_clients*OSS_clients_pct_deleted,0)</f>
        <v>157500</v>
      </c>
      <c r="G39" s="206">
        <f>ROUND(G36*BPC_num_clients*BPC_clients_pct_deleted,0)</f>
        <v>145000</v>
      </c>
      <c r="H39" s="206">
        <f>ROUND(H36*AS_num_clients*AS_clients_pct_deleted,0)</f>
        <v>157500</v>
      </c>
    </row>
    <row r="40" spans="1:8" ht="15">
      <c r="A40" s="1"/>
      <c r="B40" s="129" t="s">
        <v>158</v>
      </c>
      <c r="C40" s="208">
        <f aca="true" t="shared" si="11" ref="C40:H40">SUM(C37:C39)</f>
        <v>478000</v>
      </c>
      <c r="D40" s="208">
        <f t="shared" si="11"/>
        <v>704500</v>
      </c>
      <c r="E40" s="208">
        <f t="shared" si="11"/>
        <v>478000</v>
      </c>
      <c r="F40" s="208">
        <f t="shared" si="11"/>
        <v>505500</v>
      </c>
      <c r="G40" s="208">
        <f t="shared" si="11"/>
        <v>478000</v>
      </c>
      <c r="H40" s="208">
        <f t="shared" si="11"/>
        <v>583500</v>
      </c>
    </row>
    <row r="41" spans="1:8" ht="15">
      <c r="A41" s="1"/>
      <c r="D41" s="81"/>
      <c r="E41" s="81"/>
      <c r="F41" s="81"/>
      <c r="H41" s="81"/>
    </row>
    <row r="42" spans="1:8" ht="15">
      <c r="A42" s="1"/>
      <c r="B42" s="33" t="s">
        <v>42</v>
      </c>
      <c r="C42" s="33"/>
      <c r="D42" s="19"/>
      <c r="E42" s="19"/>
      <c r="F42" s="19"/>
      <c r="G42" s="34"/>
      <c r="H42" s="19"/>
    </row>
    <row r="43" spans="1:8" ht="15">
      <c r="A43" s="1"/>
      <c r="B43" s="133" t="s">
        <v>40</v>
      </c>
      <c r="C43" s="128">
        <f>ROUND(TPS_nonpatch_unscheduled_hours_year*TPS_average_IT_hourly_wage,2)</f>
        <v>15.18</v>
      </c>
      <c r="D43" s="128">
        <f>ROUND(TMR_nonpatch_unscheduled_hours_year*TMR_average_IT_hourly_wage,2)</f>
        <v>47.45</v>
      </c>
      <c r="E43" s="128">
        <f>ROUND(VHD_nonpatch_unscheduled_hours_year*VHD_average_IT_hourly_wage,2)</f>
        <v>15.18</v>
      </c>
      <c r="F43" s="128">
        <f>ROUND(OSS_nonpatch_unscheduled_hours_year*OSS_average_IT_hourly_wage,2)</f>
        <v>17.72</v>
      </c>
      <c r="G43" s="128">
        <f>ROUND(BPC_nonpatch_unscheduled_hours_year*BPC_average_IT_hourly_wage,2)</f>
        <v>15.18</v>
      </c>
      <c r="H43" s="128">
        <f>ROUND(AS_nonpatch_unscheduled_hours_year*AS_average_IT_hourly_wage,2)</f>
        <v>17.72</v>
      </c>
    </row>
    <row r="44" spans="1:8" ht="15">
      <c r="A44" s="1"/>
      <c r="B44" s="129" t="s">
        <v>38</v>
      </c>
      <c r="C44" s="208">
        <f>ROUND(C43*TPS_num_clients,0)</f>
        <v>151800</v>
      </c>
      <c r="D44" s="208">
        <f>ROUND(D43*TMR_num_clients,0)</f>
        <v>474500</v>
      </c>
      <c r="E44" s="208">
        <f>ROUND(E43*VHD_num_clients,0)</f>
        <v>151800</v>
      </c>
      <c r="F44" s="208">
        <f>ROUND(F43*OSS_num_clients,0)</f>
        <v>177200</v>
      </c>
      <c r="G44" s="208">
        <f>ROUND(G43*BPC_num_clients,0)</f>
        <v>151800</v>
      </c>
      <c r="H44" s="208">
        <f>ROUND(H43*AS_num_clients,0)</f>
        <v>177200</v>
      </c>
    </row>
    <row r="45" spans="1:8" ht="15">
      <c r="A45" s="1"/>
      <c r="D45" s="81"/>
      <c r="E45" s="81"/>
      <c r="F45" s="81"/>
      <c r="H45" s="81"/>
    </row>
    <row r="46" spans="1:8" ht="15">
      <c r="A46" s="1"/>
      <c r="B46" s="33" t="s">
        <v>35</v>
      </c>
      <c r="C46" s="33"/>
      <c r="D46" s="19"/>
      <c r="E46" s="19"/>
      <c r="F46" s="19"/>
      <c r="G46" s="34"/>
      <c r="H46" s="19"/>
    </row>
    <row r="47" spans="1:8" ht="15">
      <c r="A47" s="1"/>
      <c r="B47" s="133" t="s">
        <v>33</v>
      </c>
      <c r="C47" s="128">
        <f>ROUND(TPS_scheduled_compliance_year*TPS_average_IT_hourly_wage,2)</f>
        <v>10.12</v>
      </c>
      <c r="D47" s="128">
        <f>ROUND(TMR_scheduled_compliance_year*TMR_average_IT_hourly_wage,2)</f>
        <v>25.94</v>
      </c>
      <c r="E47" s="128">
        <f>ROUND(VHD_scheduled_compliance_year*VHD_average_IT_hourly_wage,2)</f>
        <v>10.12</v>
      </c>
      <c r="F47" s="128">
        <f>ROUND(OSS_scheduled_compliance_year*OSS_average_IT_hourly_wage,2)</f>
        <v>10.76</v>
      </c>
      <c r="G47" s="128">
        <f>ROUND(BPC_scheduled_compliance_year*BPC_average_IT_hourly_wage,2)</f>
        <v>10.12</v>
      </c>
      <c r="H47" s="128">
        <f>ROUND(AS_scheduled_compliance_year*AS_average_IT_hourly_wage,2)</f>
        <v>10.76</v>
      </c>
    </row>
    <row r="48" spans="1:8" ht="15">
      <c r="A48" s="1"/>
      <c r="B48" s="129" t="s">
        <v>30</v>
      </c>
      <c r="C48" s="208">
        <f>ROUND(C47*TPS_num_clients,0)</f>
        <v>101200</v>
      </c>
      <c r="D48" s="208">
        <f>ROUND(D47*TMR_num_clients,2)</f>
        <v>259400</v>
      </c>
      <c r="E48" s="208">
        <f>ROUND(E47*VHD_num_clients,0)</f>
        <v>101200</v>
      </c>
      <c r="F48" s="208">
        <f>ROUND(F47*OSS_num_clients,0)</f>
        <v>107600</v>
      </c>
      <c r="G48" s="208">
        <f>ROUND(G47*BPC_num_clients,0)</f>
        <v>101200</v>
      </c>
      <c r="H48" s="208">
        <f>ROUND(H47*AS_num_clients,0)</f>
        <v>107600</v>
      </c>
    </row>
    <row r="49" spans="1:8" ht="15">
      <c r="A49" s="1"/>
      <c r="D49" s="81"/>
      <c r="E49" s="131"/>
      <c r="F49" s="81"/>
      <c r="H49" s="81"/>
    </row>
    <row r="50" spans="1:8" ht="15">
      <c r="A50" s="1"/>
      <c r="B50" s="61" t="s">
        <v>28</v>
      </c>
      <c r="C50" s="33"/>
      <c r="D50" s="19"/>
      <c r="E50" s="19"/>
      <c r="F50" s="19"/>
      <c r="G50" s="34"/>
      <c r="H50" s="19"/>
    </row>
    <row r="51" spans="1:8" ht="15">
      <c r="A51" s="1"/>
      <c r="B51" s="126" t="s">
        <v>26</v>
      </c>
      <c r="C51" s="209">
        <f>ROUND((TPS_number_of_access_infrastructure_servers+TPS_number_of_management_servers)*TPS_server_managability_cost,0)</f>
        <v>607600</v>
      </c>
      <c r="D51" s="209">
        <f>ROUND((TMR_number_of_access_infrastructure_servers+TMR_number_of_management_servers)*TMR_server_managability_cost,0)</f>
        <v>40300</v>
      </c>
      <c r="E51" s="209">
        <f>ROUND((VHD_number_of_access_infrastructure_servers+VHD_number_of_management_servers)*VHD_server_managability_cost,0)</f>
        <v>923800</v>
      </c>
      <c r="F51" s="209">
        <f>ROUND((OSS_number_of_access_infrastructure_servers+OSS_number_of_management_servers)*OSS_server_managability_cost,0)</f>
        <v>282100</v>
      </c>
      <c r="G51" s="209">
        <f>ROUND((BPC_number_of_access_infrastructure_servers+BPC_number_of_management_servers)*BPC_server_managability_cost,0)</f>
        <v>83700</v>
      </c>
      <c r="H51" s="209">
        <f>ROUND((AS_number_of_access_infrastructure_servers+AS_number_of_management_servers)*AS_server_managability_cost,0)</f>
        <v>158100</v>
      </c>
    </row>
    <row r="52" spans="1:8" ht="15">
      <c r="A52" s="1"/>
      <c r="B52" s="126" t="s">
        <v>23</v>
      </c>
      <c r="C52" s="209">
        <f>ROUND((TPS_client_misc_mgmt_cost*20)+(TPS_num_clients*TPS_client_misc_mgmt_cost),0)</f>
        <v>0</v>
      </c>
      <c r="D52" s="209">
        <f>ROUND((TMR_client_misc_mgmt_cost*20)+(TMR_num_clients*TMR_client_misc_mgmt_cost),0)</f>
        <v>0</v>
      </c>
      <c r="E52" s="209">
        <f>ROUND((VHD_client_misc_mgmt_cost*20)+(VHD_num_clients*VHD_client_misc_mgmt_cost),0)</f>
        <v>0</v>
      </c>
      <c r="F52" s="209">
        <f>ROUND((OSS_client_misc_mgmt_cost*20)+(OSS_num_clients*OSS_client_misc_mgmt_cost),0)</f>
        <v>0</v>
      </c>
      <c r="G52" s="209">
        <f>ROUND((BPC_client_misc_mgmt_cost*20)+(BPC_num_clients*BPC_client_misc_mgmt_cost),0)</f>
        <v>0</v>
      </c>
      <c r="H52" s="209">
        <f>ROUND((AS_client_misc_mgmt_cost*20)+(AS_num_clients*AS_client_misc_mgmt_cost),0)</f>
        <v>0</v>
      </c>
    </row>
    <row r="53" spans="1:8" ht="15">
      <c r="A53" s="1"/>
      <c r="B53" s="129" t="s">
        <v>20</v>
      </c>
      <c r="C53" s="208">
        <f aca="true" t="shared" si="12" ref="C53:H53">SUM(C51:C52)</f>
        <v>607600</v>
      </c>
      <c r="D53" s="208">
        <f t="shared" si="12"/>
        <v>40300</v>
      </c>
      <c r="E53" s="208">
        <f t="shared" si="12"/>
        <v>923800</v>
      </c>
      <c r="F53" s="208">
        <f t="shared" si="12"/>
        <v>282100</v>
      </c>
      <c r="G53" s="208">
        <f t="shared" si="12"/>
        <v>83700</v>
      </c>
      <c r="H53" s="208">
        <f t="shared" si="12"/>
        <v>158100</v>
      </c>
    </row>
    <row r="54" ht="15">
      <c r="A54" s="1"/>
    </row>
    <row r="55" ht="15">
      <c r="A55" s="1"/>
    </row>
    <row r="56" ht="15">
      <c r="A56" s="1"/>
    </row>
    <row r="57" ht="15">
      <c r="A57" s="1"/>
    </row>
    <row r="58" ht="15">
      <c r="A58" s="1"/>
    </row>
    <row r="59" ht="15">
      <c r="A59" s="1"/>
    </row>
    <row r="60" ht="15">
      <c r="A60" s="1"/>
    </row>
    <row r="61" ht="15">
      <c r="A61" s="1"/>
    </row>
    <row r="62" spans="1:9" ht="15">
      <c r="A62" s="1"/>
      <c r="B62" s="1"/>
      <c r="C62" s="1"/>
      <c r="D62" s="1"/>
      <c r="E62" s="1"/>
      <c r="F62" s="1"/>
      <c r="H62" s="1"/>
      <c r="I62" s="1"/>
    </row>
    <row r="63" spans="1:9" ht="15">
      <c r="A63" s="1"/>
      <c r="B63" s="1"/>
      <c r="C63" s="1"/>
      <c r="D63" s="1"/>
      <c r="E63" s="1"/>
      <c r="F63" s="1"/>
      <c r="H63" s="1"/>
      <c r="I63" s="1"/>
    </row>
    <row r="64" spans="1:9" ht="15">
      <c r="A64" s="1"/>
      <c r="B64" s="1"/>
      <c r="C64" s="1"/>
      <c r="D64" s="1"/>
      <c r="E64" s="1"/>
      <c r="F64" s="1"/>
      <c r="H64" s="1"/>
      <c r="I64" s="1"/>
    </row>
    <row r="65" spans="1:9" ht="15">
      <c r="A65" s="1"/>
      <c r="B65" s="1"/>
      <c r="C65" s="1"/>
      <c r="D65" s="1"/>
      <c r="E65" s="1"/>
      <c r="F65" s="1"/>
      <c r="H65" s="1"/>
      <c r="I65" s="1"/>
    </row>
    <row r="66" spans="1:9" ht="15">
      <c r="A66" s="1"/>
      <c r="B66" s="1"/>
      <c r="C66" s="1"/>
      <c r="D66" s="1"/>
      <c r="E66" s="1"/>
      <c r="F66" s="1"/>
      <c r="H66" s="1"/>
      <c r="I66" s="1"/>
    </row>
    <row r="67" spans="1:9" ht="15">
      <c r="A67" s="1"/>
      <c r="B67" s="1"/>
      <c r="C67" s="1"/>
      <c r="D67" s="1"/>
      <c r="E67" s="1"/>
      <c r="F67" s="1"/>
      <c r="H67" s="1"/>
      <c r="I67" s="1"/>
    </row>
    <row r="68" spans="1:9" ht="15">
      <c r="A68" s="1"/>
      <c r="B68" s="1"/>
      <c r="C68" s="1"/>
      <c r="D68" s="1"/>
      <c r="E68" s="1"/>
      <c r="F68" s="1"/>
      <c r="H68" s="1"/>
      <c r="I68" s="1"/>
    </row>
    <row r="69" spans="1:9" ht="15">
      <c r="A69" s="1"/>
      <c r="B69" s="1"/>
      <c r="C69" s="1"/>
      <c r="D69" s="1"/>
      <c r="E69" s="1"/>
      <c r="F69" s="1"/>
      <c r="H69" s="1"/>
      <c r="I69" s="1"/>
    </row>
    <row r="70" spans="1:9" ht="15">
      <c r="A70" s="1"/>
      <c r="B70" s="1"/>
      <c r="C70" s="1"/>
      <c r="D70" s="1"/>
      <c r="E70" s="1"/>
      <c r="F70" s="1"/>
      <c r="H70" s="1"/>
      <c r="I70" s="1"/>
    </row>
    <row r="71" spans="1:9" ht="15">
      <c r="A71" s="1"/>
      <c r="B71" s="1"/>
      <c r="C71" s="1"/>
      <c r="D71" s="1"/>
      <c r="E71" s="1"/>
      <c r="F71" s="1"/>
      <c r="H71" s="1"/>
      <c r="I71" s="1"/>
    </row>
    <row r="72" spans="1:9" ht="15">
      <c r="A72" s="1"/>
      <c r="B72" s="1"/>
      <c r="C72" s="1"/>
      <c r="D72" s="1"/>
      <c r="E72" s="1"/>
      <c r="F72" s="1"/>
      <c r="H72" s="1"/>
      <c r="I72" s="1"/>
    </row>
    <row r="73" spans="1:9" ht="15">
      <c r="A73" s="1"/>
      <c r="B73" s="1"/>
      <c r="C73" s="1"/>
      <c r="D73" s="1"/>
      <c r="E73" s="1"/>
      <c r="F73" s="1"/>
      <c r="H73" s="1"/>
      <c r="I73" s="1"/>
    </row>
    <row r="74" spans="1:9" ht="15">
      <c r="A74" s="1"/>
      <c r="B74" s="1"/>
      <c r="C74" s="1"/>
      <c r="D74" s="1"/>
      <c r="E74" s="1"/>
      <c r="F74" s="1"/>
      <c r="H74" s="1"/>
      <c r="I74" s="1"/>
    </row>
    <row r="75" spans="1:9" ht="15">
      <c r="A75" s="1"/>
      <c r="B75" s="1"/>
      <c r="C75" s="1"/>
      <c r="D75" s="1"/>
      <c r="E75" s="1"/>
      <c r="F75" s="1"/>
      <c r="H75" s="1"/>
      <c r="I75" s="1"/>
    </row>
    <row r="76" spans="1:9" ht="15">
      <c r="A76" s="1"/>
      <c r="B76" s="1"/>
      <c r="C76" s="1"/>
      <c r="D76" s="1"/>
      <c r="E76" s="1"/>
      <c r="F76" s="1"/>
      <c r="H76" s="1"/>
      <c r="I76" s="1"/>
    </row>
    <row r="77" spans="1:9" ht="15">
      <c r="A77" s="1"/>
      <c r="B77" s="1"/>
      <c r="C77" s="1"/>
      <c r="D77" s="1"/>
      <c r="E77" s="1"/>
      <c r="F77" s="1"/>
      <c r="H77" s="1"/>
      <c r="I77" s="1"/>
    </row>
    <row r="78" spans="1:9" ht="15">
      <c r="A78" s="1"/>
      <c r="B78" s="1"/>
      <c r="C78" s="1"/>
      <c r="D78" s="1"/>
      <c r="E78" s="1"/>
      <c r="F78" s="1"/>
      <c r="G78" s="1"/>
      <c r="H78" s="1"/>
      <c r="I78" s="1"/>
    </row>
    <row r="79" spans="1:9" ht="15">
      <c r="A79" s="1"/>
      <c r="B79" s="1"/>
      <c r="C79" s="1"/>
      <c r="D79" s="1"/>
      <c r="E79" s="1"/>
      <c r="F79" s="1"/>
      <c r="G79" s="1"/>
      <c r="H79" s="1"/>
      <c r="I79" s="1"/>
    </row>
    <row r="80" spans="1:9" ht="15">
      <c r="A80" s="1"/>
      <c r="B80" s="1"/>
      <c r="C80" s="1"/>
      <c r="D80" s="1"/>
      <c r="E80" s="1"/>
      <c r="F80" s="1"/>
      <c r="G80" s="1"/>
      <c r="H80" s="1"/>
      <c r="I80" s="1"/>
    </row>
    <row r="81" spans="1:9" ht="15">
      <c r="A81" s="1"/>
      <c r="B81" s="1"/>
      <c r="C81" s="1"/>
      <c r="D81" s="1"/>
      <c r="E81" s="1"/>
      <c r="F81" s="1"/>
      <c r="G81" s="1"/>
      <c r="H81" s="1"/>
      <c r="I81" s="1"/>
    </row>
    <row r="82" spans="1:9" ht="15">
      <c r="A82" s="1"/>
      <c r="B82" s="1"/>
      <c r="C82" s="1"/>
      <c r="D82" s="1"/>
      <c r="E82" s="1"/>
      <c r="F82" s="1"/>
      <c r="G82" s="1"/>
      <c r="H82" s="1"/>
      <c r="I82" s="1"/>
    </row>
    <row r="83" spans="1:9" ht="15">
      <c r="A83" s="1"/>
      <c r="B83" s="1"/>
      <c r="C83" s="1"/>
      <c r="D83" s="1"/>
      <c r="E83" s="1"/>
      <c r="F83" s="1"/>
      <c r="G83" s="1"/>
      <c r="H83" s="1"/>
      <c r="I83" s="1"/>
    </row>
    <row r="84" spans="1:9" ht="15">
      <c r="A84" s="1"/>
      <c r="B84" s="1"/>
      <c r="C84" s="1"/>
      <c r="D84" s="1"/>
      <c r="E84" s="1"/>
      <c r="F84" s="1"/>
      <c r="G84" s="1"/>
      <c r="H84" s="1"/>
      <c r="I84" s="1"/>
    </row>
    <row r="85" spans="1:9" ht="15">
      <c r="A85" s="1"/>
      <c r="B85" s="1"/>
      <c r="C85" s="1"/>
      <c r="D85" s="1"/>
      <c r="E85" s="1"/>
      <c r="F85" s="1"/>
      <c r="G85" s="1"/>
      <c r="H85" s="1"/>
      <c r="I85" s="1"/>
    </row>
    <row r="86" spans="1:9" ht="15">
      <c r="A86" s="1"/>
      <c r="B86" s="1"/>
      <c r="C86" s="1"/>
      <c r="D86" s="1"/>
      <c r="E86" s="1"/>
      <c r="F86" s="1"/>
      <c r="G86" s="1"/>
      <c r="H86" s="1"/>
      <c r="I86" s="1"/>
    </row>
    <row r="87" spans="1:9" ht="15">
      <c r="A87" s="1"/>
      <c r="B87" s="1"/>
      <c r="C87" s="1"/>
      <c r="D87" s="1"/>
      <c r="E87" s="1"/>
      <c r="F87" s="1"/>
      <c r="G87" s="1"/>
      <c r="H87" s="1"/>
      <c r="I87" s="1"/>
    </row>
    <row r="88" spans="1:9" ht="15">
      <c r="A88" s="1"/>
      <c r="B88" s="1"/>
      <c r="C88" s="1"/>
      <c r="D88" s="1"/>
      <c r="E88" s="1"/>
      <c r="F88" s="1"/>
      <c r="G88" s="1"/>
      <c r="H88" s="1"/>
      <c r="I88" s="1"/>
    </row>
    <row r="89" spans="1:9" ht="15">
      <c r="A89" s="1"/>
      <c r="B89" s="1"/>
      <c r="C89" s="1"/>
      <c r="D89" s="1"/>
      <c r="E89" s="1"/>
      <c r="F89" s="1"/>
      <c r="G89" s="1"/>
      <c r="H89" s="1"/>
      <c r="I89" s="1"/>
    </row>
    <row r="90" spans="1:9" ht="15">
      <c r="A90" s="1"/>
      <c r="B90" s="1"/>
      <c r="C90" s="1"/>
      <c r="D90" s="1"/>
      <c r="E90" s="1"/>
      <c r="F90" s="1"/>
      <c r="G90" s="1"/>
      <c r="H90" s="1"/>
      <c r="I90" s="1"/>
    </row>
    <row r="91" spans="1:9" ht="15">
      <c r="A91" s="1"/>
      <c r="B91" s="1"/>
      <c r="C91" s="1"/>
      <c r="D91" s="1"/>
      <c r="E91" s="1"/>
      <c r="F91" s="1"/>
      <c r="G91" s="1"/>
      <c r="H91" s="1"/>
      <c r="I91" s="1"/>
    </row>
    <row r="92" spans="1:9" ht="15">
      <c r="A92" s="1"/>
      <c r="B92" s="1"/>
      <c r="C92" s="1"/>
      <c r="D92" s="1"/>
      <c r="E92" s="1"/>
      <c r="F92" s="1"/>
      <c r="G92" s="1"/>
      <c r="H92" s="1"/>
      <c r="I92" s="1"/>
    </row>
    <row r="93" spans="1:9" ht="15">
      <c r="A93" s="1"/>
      <c r="B93" s="1"/>
      <c r="C93" s="1"/>
      <c r="D93" s="1"/>
      <c r="E93" s="1"/>
      <c r="F93" s="1"/>
      <c r="G93" s="1"/>
      <c r="H93" s="1"/>
      <c r="I93" s="1"/>
    </row>
    <row r="94" spans="1:9" ht="15">
      <c r="A94" s="1"/>
      <c r="B94" s="1"/>
      <c r="C94" s="1"/>
      <c r="D94" s="1"/>
      <c r="E94" s="1"/>
      <c r="F94" s="1"/>
      <c r="G94" s="1"/>
      <c r="H94" s="1"/>
      <c r="I94" s="1"/>
    </row>
    <row r="95" spans="1:9" ht="15">
      <c r="A95" s="1"/>
      <c r="B95" s="1"/>
      <c r="C95" s="1"/>
      <c r="D95" s="1"/>
      <c r="E95" s="1"/>
      <c r="F95" s="1"/>
      <c r="G95" s="1"/>
      <c r="H95" s="1"/>
      <c r="I95" s="1"/>
    </row>
    <row r="96" spans="7:9" ht="15">
      <c r="G96" s="1"/>
      <c r="I96" s="1"/>
    </row>
    <row r="97" spans="7:9" ht="15">
      <c r="G97" s="1"/>
      <c r="I97" s="1"/>
    </row>
    <row r="98" spans="7:9" ht="15">
      <c r="G98" s="1"/>
      <c r="I98" s="1"/>
    </row>
    <row r="99" ht="15">
      <c r="I99" s="1"/>
    </row>
    <row r="100" ht="15">
      <c r="I100" s="1"/>
    </row>
    <row r="101" ht="15">
      <c r="I101" s="1"/>
    </row>
    <row r="102" ht="15">
      <c r="I102" s="1"/>
    </row>
    <row r="103" ht="15">
      <c r="I103" s="1"/>
    </row>
    <row r="104" ht="15">
      <c r="I104" s="1"/>
    </row>
  </sheetData>
  <sheetProtection sheet="1" objects="1" scenarios="1"/>
  <mergeCells count="1">
    <mergeCell ref="B1:C1"/>
  </mergeCells>
  <printOptions/>
  <pageMargins left="0.7" right="0.7" top="0.75" bottom="0.75" header="0.3" footer="0.3"/>
  <pageSetup fitToHeight="0" fitToWidth="1" horizontalDpi="600" verticalDpi="600" orientation="landscape" scale="81" r:id="rId2"/>
  <rowBreaks count="1" manualBreakCount="1">
    <brk id="32" max="255" man="1"/>
  </rowBreaks>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I99"/>
  <sheetViews>
    <sheetView zoomScalePageLayoutView="0" workbookViewId="0" topLeftCell="A1">
      <selection activeCell="A1" sqref="A1"/>
    </sheetView>
  </sheetViews>
  <sheetFormatPr defaultColWidth="9.140625" defaultRowHeight="15"/>
  <cols>
    <col min="1" max="1" width="3.7109375" style="3" customWidth="1"/>
    <col min="2" max="2" width="55.28125" style="4" customWidth="1"/>
    <col min="3" max="8" width="15.7109375" style="4" customWidth="1"/>
    <col min="9" max="9" width="9.140625" style="1" customWidth="1"/>
    <col min="10" max="16384" width="9.140625" style="3" customWidth="1"/>
  </cols>
  <sheetData>
    <row r="1" spans="1:8" ht="107.25" customHeight="1">
      <c r="A1" s="1"/>
      <c r="B1" s="352"/>
      <c r="C1" s="352"/>
      <c r="D1" s="98"/>
      <c r="E1" s="99"/>
      <c r="F1" s="98"/>
      <c r="G1" s="98"/>
      <c r="H1" s="98"/>
    </row>
    <row r="2" spans="2:9" s="100" customFormat="1" ht="45">
      <c r="B2" s="134" t="s">
        <v>137</v>
      </c>
      <c r="C2" s="10" t="s">
        <v>204</v>
      </c>
      <c r="D2" s="10" t="s">
        <v>153</v>
      </c>
      <c r="E2" s="10" t="s">
        <v>140</v>
      </c>
      <c r="F2" s="10" t="s">
        <v>208</v>
      </c>
      <c r="G2" s="10" t="s">
        <v>150</v>
      </c>
      <c r="H2" s="10" t="s">
        <v>209</v>
      </c>
      <c r="I2" s="102"/>
    </row>
    <row r="3" spans="1:9" ht="15">
      <c r="A3" s="1"/>
      <c r="B3" s="103" t="s">
        <v>207</v>
      </c>
      <c r="C3" s="200">
        <f>ROUND($C$16*TPS_workdays_per_year,0)</f>
        <v>5439000</v>
      </c>
      <c r="D3" s="200">
        <f>ROUND($D$16*TMR_workdays_per_year,0)</f>
        <v>0</v>
      </c>
      <c r="E3" s="200">
        <f>ROUND($E$16*VHD_workdays_per_year,0)</f>
        <v>5831000</v>
      </c>
      <c r="F3" s="200">
        <f>ROUND($F$16*OSS_workdays_per_year,0)</f>
        <v>1274000</v>
      </c>
      <c r="G3" s="200">
        <f>ROUND($G$16*BPC_workdays_per_year,0)</f>
        <v>12789000</v>
      </c>
      <c r="H3" s="200">
        <f>ROUND($H$16*AS_workdays_per_year,0)</f>
        <v>0</v>
      </c>
      <c r="I3" s="4"/>
    </row>
    <row r="4" spans="1:9" ht="18">
      <c r="A4" s="1"/>
      <c r="B4" s="135"/>
      <c r="C4" s="49"/>
      <c r="D4" s="136"/>
      <c r="E4" s="136"/>
      <c r="F4" s="136"/>
      <c r="G4" s="49"/>
      <c r="H4" s="136"/>
      <c r="I4" s="4"/>
    </row>
    <row r="5" spans="1:9" ht="15">
      <c r="A5" s="1"/>
      <c r="B5" s="137" t="s">
        <v>131</v>
      </c>
      <c r="C5" s="134"/>
      <c r="D5" s="138"/>
      <c r="E5" s="138"/>
      <c r="F5" s="138"/>
      <c r="G5" s="139"/>
      <c r="H5" s="138"/>
      <c r="I5" s="4"/>
    </row>
    <row r="6" spans="1:9" ht="15">
      <c r="A6" s="1"/>
      <c r="B6" s="126" t="s">
        <v>1</v>
      </c>
      <c r="C6" s="140">
        <f>TPS_lost_minutes_reboot</f>
        <v>0</v>
      </c>
      <c r="D6" s="140">
        <f>TMR_lost_minutes_reboot</f>
        <v>0</v>
      </c>
      <c r="E6" s="140">
        <f>VHD_lost_minutes_reboot</f>
        <v>0</v>
      </c>
      <c r="F6" s="140">
        <f>OSS_lost_minutes_reboot</f>
        <v>0</v>
      </c>
      <c r="G6" s="140">
        <f>BPC_lost_minutes_reboot</f>
        <v>0</v>
      </c>
      <c r="H6" s="140">
        <f>AS_lost_minutes_reboot</f>
        <v>0</v>
      </c>
      <c r="I6" s="4"/>
    </row>
    <row r="7" spans="1:9" ht="26.25">
      <c r="A7" s="1"/>
      <c r="B7" s="126" t="s">
        <v>0</v>
      </c>
      <c r="C7" s="140">
        <f>TPS_lost_minutes_IT</f>
        <v>0</v>
      </c>
      <c r="D7" s="140">
        <f>TMR_lost_minutes_IT</f>
        <v>0</v>
      </c>
      <c r="E7" s="140">
        <f>VHD_lost_minutes_IT</f>
        <v>0</v>
      </c>
      <c r="F7" s="140">
        <f>OSS_lost_minutes_IT</f>
        <v>0</v>
      </c>
      <c r="G7" s="140">
        <f>BPC_lost_minutes_IT</f>
        <v>0</v>
      </c>
      <c r="H7" s="140">
        <f>AS_lost_minutes_IT</f>
        <v>0</v>
      </c>
      <c r="I7" s="4"/>
    </row>
    <row r="8" spans="1:9" ht="26.25">
      <c r="A8" s="1"/>
      <c r="B8" s="126" t="s">
        <v>126</v>
      </c>
      <c r="C8" s="140">
        <f>TPS_MinutesServerCongestion</f>
        <v>3.25</v>
      </c>
      <c r="D8" s="140">
        <f>TMR_MinutesServerCongestion</f>
        <v>0</v>
      </c>
      <c r="E8" s="140">
        <f>VHD_MinutesServerCongestion</f>
        <v>3.5</v>
      </c>
      <c r="F8" s="140">
        <f>OSS_MinutesServerCongestion</f>
        <v>0.75</v>
      </c>
      <c r="G8" s="195" t="s">
        <v>54</v>
      </c>
      <c r="H8" s="140">
        <f>AS_MinutesServerCongestion</f>
        <v>0</v>
      </c>
      <c r="I8" s="4"/>
    </row>
    <row r="9" spans="1:9" ht="26.25">
      <c r="A9" s="1"/>
      <c r="B9" s="141" t="s">
        <v>155</v>
      </c>
      <c r="C9" s="140">
        <f>TPS_minutes_per_day_restriction</f>
        <v>0</v>
      </c>
      <c r="D9" s="140">
        <f>TMR_minutes_per_day_restriction</f>
        <v>0</v>
      </c>
      <c r="E9" s="140">
        <f>VHD_minutes_per_day_restriction</f>
        <v>0</v>
      </c>
      <c r="F9" s="140">
        <f>OSS_minutes_per_day_restriction</f>
        <v>0</v>
      </c>
      <c r="G9" s="140">
        <f>BPC_minutes_per_day_restriction</f>
        <v>0</v>
      </c>
      <c r="H9" s="140">
        <f>AS_minutes_per_day_restriction</f>
        <v>0</v>
      </c>
      <c r="I9" s="4"/>
    </row>
    <row r="10" spans="1:9" ht="26.25">
      <c r="A10" s="1"/>
      <c r="B10" s="105" t="s">
        <v>122</v>
      </c>
      <c r="C10" s="140">
        <f>ROUND((TPS_minutes_per_compute_incident*TPS_num_compute_incidents_per_day),0)</f>
        <v>0</v>
      </c>
      <c r="D10" s="140">
        <f>ROUND((TMR_minutes_per_compute_incident*TMR_num_compute_incidents_per_day),0)</f>
        <v>0</v>
      </c>
      <c r="E10" s="140">
        <f>ROUND((VHD_minutes_per_compute_incident*VHD_num_compute_incidents_per_day),0)</f>
        <v>0</v>
      </c>
      <c r="F10" s="140">
        <f>ROUND((OSS_minutes_per_compute_incident*OSS_num_compute_incidents_per_day),0)</f>
        <v>0</v>
      </c>
      <c r="G10" s="140">
        <f>BPC_MinutesServerCongestion</f>
        <v>7.7</v>
      </c>
      <c r="H10" s="140">
        <f>ROUND((AS_minutes_per_compute_incident*AS_num_compute_incidents_per_day),0)</f>
        <v>0</v>
      </c>
      <c r="I10" s="4"/>
    </row>
    <row r="11" spans="1:8" ht="15">
      <c r="A11" s="1"/>
      <c r="B11" s="142" t="s">
        <v>119</v>
      </c>
      <c r="C11" s="143">
        <f aca="true" t="shared" si="0" ref="C11:H11">SUM(C6:C10)</f>
        <v>3.25</v>
      </c>
      <c r="D11" s="143">
        <f t="shared" si="0"/>
        <v>0</v>
      </c>
      <c r="E11" s="143">
        <f t="shared" si="0"/>
        <v>3.5</v>
      </c>
      <c r="F11" s="143">
        <f t="shared" si="0"/>
        <v>0.75</v>
      </c>
      <c r="G11" s="143">
        <f t="shared" si="0"/>
        <v>7.7</v>
      </c>
      <c r="H11" s="143">
        <f t="shared" si="0"/>
        <v>0</v>
      </c>
    </row>
    <row r="12" spans="1:8" ht="15">
      <c r="A12" s="1"/>
      <c r="D12" s="81"/>
      <c r="E12" s="81"/>
      <c r="F12" s="81"/>
      <c r="H12" s="81"/>
    </row>
    <row r="13" spans="1:8" ht="15">
      <c r="A13" s="1"/>
      <c r="B13" s="134" t="s">
        <v>2</v>
      </c>
      <c r="C13" s="134"/>
      <c r="D13" s="19"/>
      <c r="E13" s="138"/>
      <c r="F13" s="19"/>
      <c r="G13" s="139"/>
      <c r="H13" s="19"/>
    </row>
    <row r="14" spans="1:8" ht="15">
      <c r="A14" s="1"/>
      <c r="B14" s="126" t="s">
        <v>106</v>
      </c>
      <c r="C14" s="144">
        <f>ROUND(TPS_minutes_lost_per_day/(480),4)</f>
        <v>0.0068</v>
      </c>
      <c r="D14" s="144">
        <f>ROUND(TMR_minutes_lost_per_day/(480),4)</f>
        <v>0</v>
      </c>
      <c r="E14" s="144">
        <f>ROUND(VHD_minutes_lost_per_day/(480),4)</f>
        <v>0.0073</v>
      </c>
      <c r="F14" s="144">
        <f>ROUND(OSS_minutes_lost_per_day/480,4)</f>
        <v>0.0016</v>
      </c>
      <c r="G14" s="144">
        <f>ROUND(BPC_minutes_lost_per_day/(480),4)</f>
        <v>0.016</v>
      </c>
      <c r="H14" s="144">
        <f>ROUND(AS_minutes_lost_per_day/(480),4)</f>
        <v>0</v>
      </c>
    </row>
    <row r="15" spans="1:8" ht="15">
      <c r="A15" s="1"/>
      <c r="B15" s="126" t="s">
        <v>102</v>
      </c>
      <c r="C15" s="145">
        <f>ROUND(TPS_average_hourly_wage*8*C14,2)</f>
        <v>2.22</v>
      </c>
      <c r="D15" s="145">
        <f>ROUND(TMR_average_hourly_wage*8*D14,2)</f>
        <v>0</v>
      </c>
      <c r="E15" s="145">
        <f>ROUND(VHD_average_hourly_wage*8*E14,2)</f>
        <v>2.38</v>
      </c>
      <c r="F15" s="145">
        <f>ROUND(OSS_average_hourly_wage*8*F14,2)</f>
        <v>0.52</v>
      </c>
      <c r="G15" s="145">
        <f>ROUND(BPC_average_hourly_wage*8*G14,2)</f>
        <v>5.22</v>
      </c>
      <c r="H15" s="145">
        <f>ROUND(AS_average_hourly_wage*8*H14,2)</f>
        <v>0</v>
      </c>
    </row>
    <row r="16" spans="1:8" ht="15">
      <c r="A16" s="1"/>
      <c r="B16" s="129" t="s">
        <v>97</v>
      </c>
      <c r="C16" s="200">
        <f>ROUND(C15*TPS_num_clients,0)</f>
        <v>22200</v>
      </c>
      <c r="D16" s="200">
        <f>ROUND(D15*TMR_num_clients,0)</f>
        <v>0</v>
      </c>
      <c r="E16" s="200">
        <f>ROUND(E15*VHD_num_clients,0)</f>
        <v>23800</v>
      </c>
      <c r="F16" s="200">
        <f>ROUND(F15*OSS_num_clients,0)</f>
        <v>5200</v>
      </c>
      <c r="G16" s="200">
        <f>ROUND(G15*BPC_num_clients,0)</f>
        <v>52200</v>
      </c>
      <c r="H16" s="200">
        <f>ROUND(H15*AS_num_clients,0)</f>
        <v>0</v>
      </c>
    </row>
    <row r="17" spans="1:8" ht="15">
      <c r="A17" s="1"/>
      <c r="D17" s="49"/>
      <c r="F17" s="49"/>
      <c r="H17" s="49"/>
    </row>
    <row r="18" ht="15">
      <c r="A18" s="1"/>
    </row>
    <row r="19" ht="15">
      <c r="A19" s="1"/>
    </row>
    <row r="20" ht="15">
      <c r="A20" s="1"/>
    </row>
    <row r="21" spans="1:7" ht="15">
      <c r="A21" s="1"/>
      <c r="G21" s="192"/>
    </row>
    <row r="22" spans="1:7" ht="15">
      <c r="A22" s="1"/>
      <c r="G22" s="193"/>
    </row>
    <row r="23" spans="1:9" ht="15">
      <c r="A23" s="1"/>
      <c r="G23" s="194"/>
      <c r="I23" s="148"/>
    </row>
    <row r="24" spans="1:9" ht="15">
      <c r="A24" s="1"/>
      <c r="G24" s="125"/>
      <c r="I24" s="350"/>
    </row>
    <row r="25" spans="1:9" ht="15">
      <c r="A25" s="1"/>
      <c r="I25" s="350"/>
    </row>
    <row r="26" spans="1:9" ht="15">
      <c r="A26" s="1"/>
      <c r="I26" s="146"/>
    </row>
    <row r="27" spans="1:9" ht="15">
      <c r="A27" s="1"/>
      <c r="I27" s="146"/>
    </row>
    <row r="28" ht="15">
      <c r="A28" s="1"/>
    </row>
    <row r="29" ht="15">
      <c r="A29" s="1"/>
    </row>
    <row r="30" ht="15">
      <c r="A30" s="1"/>
    </row>
    <row r="31" ht="15">
      <c r="A31" s="1"/>
    </row>
    <row r="32" ht="15">
      <c r="A32" s="1"/>
    </row>
    <row r="33" ht="15">
      <c r="A33" s="1"/>
    </row>
    <row r="34" spans="1:9" ht="15">
      <c r="A34" s="1"/>
      <c r="I34" s="4"/>
    </row>
    <row r="35" spans="1:9" ht="15">
      <c r="A35" s="1"/>
      <c r="I35" s="4"/>
    </row>
    <row r="36" ht="15">
      <c r="A36" s="1"/>
    </row>
    <row r="37" ht="15">
      <c r="A37" s="1"/>
    </row>
    <row r="38" ht="15">
      <c r="A38" s="1"/>
    </row>
    <row r="39" spans="1:9" ht="15">
      <c r="A39" s="1"/>
      <c r="I39" s="4"/>
    </row>
    <row r="40" spans="1:9" ht="15">
      <c r="A40" s="1"/>
      <c r="I40" s="4"/>
    </row>
    <row r="41" spans="1:9" ht="15">
      <c r="A41" s="1"/>
      <c r="I41" s="4"/>
    </row>
    <row r="42" spans="1:9" ht="15">
      <c r="A42" s="1"/>
      <c r="I42" s="4"/>
    </row>
    <row r="43" ht="15">
      <c r="A43" s="1"/>
    </row>
    <row r="44" spans="1:9" ht="15">
      <c r="A44" s="1"/>
      <c r="I44" s="147"/>
    </row>
    <row r="45" ht="15">
      <c r="A45" s="1"/>
    </row>
    <row r="46" ht="15">
      <c r="A46" s="1"/>
    </row>
    <row r="47" ht="15">
      <c r="A47" s="1"/>
    </row>
    <row r="48" ht="15">
      <c r="A48" s="1"/>
    </row>
    <row r="49" ht="15">
      <c r="A49" s="1"/>
    </row>
    <row r="50" ht="15">
      <c r="A50" s="1"/>
    </row>
    <row r="51" ht="15">
      <c r="A51" s="1"/>
    </row>
    <row r="52" ht="15">
      <c r="A52" s="1"/>
    </row>
    <row r="53" ht="15">
      <c r="A53" s="1"/>
    </row>
    <row r="54" ht="15">
      <c r="A54" s="1"/>
    </row>
    <row r="55" ht="15">
      <c r="A55" s="1"/>
    </row>
    <row r="56" ht="15">
      <c r="A56" s="1"/>
    </row>
    <row r="57" ht="15">
      <c r="A57" s="1"/>
    </row>
    <row r="58" ht="15">
      <c r="A58" s="1"/>
    </row>
    <row r="59" ht="15">
      <c r="A59" s="1"/>
    </row>
    <row r="60" ht="15">
      <c r="A60" s="1"/>
    </row>
    <row r="61" ht="15">
      <c r="A61" s="1"/>
    </row>
    <row r="62" ht="15">
      <c r="A62" s="1"/>
    </row>
    <row r="63" spans="1:8" ht="15">
      <c r="A63" s="1"/>
      <c r="B63" s="1"/>
      <c r="C63" s="1"/>
      <c r="D63" s="1"/>
      <c r="E63" s="1"/>
      <c r="F63" s="1"/>
      <c r="H63" s="1"/>
    </row>
    <row r="64" spans="1:8" ht="15">
      <c r="A64" s="1"/>
      <c r="B64" s="1"/>
      <c r="C64" s="1"/>
      <c r="D64" s="1"/>
      <c r="E64" s="1"/>
      <c r="F64" s="1"/>
      <c r="H64" s="1"/>
    </row>
    <row r="65" spans="1:8" ht="15">
      <c r="A65" s="1"/>
      <c r="B65" s="1"/>
      <c r="C65" s="1"/>
      <c r="D65" s="1"/>
      <c r="E65" s="1"/>
      <c r="F65" s="1"/>
      <c r="H65" s="1"/>
    </row>
    <row r="66" spans="1:8" ht="15">
      <c r="A66" s="1"/>
      <c r="B66" s="1"/>
      <c r="C66" s="1"/>
      <c r="D66" s="1"/>
      <c r="E66" s="1"/>
      <c r="F66" s="1"/>
      <c r="H66" s="1"/>
    </row>
    <row r="67" spans="1:8" ht="15">
      <c r="A67" s="1"/>
      <c r="B67" s="1"/>
      <c r="C67" s="1"/>
      <c r="D67" s="1"/>
      <c r="E67" s="1"/>
      <c r="F67" s="1"/>
      <c r="H67" s="1"/>
    </row>
    <row r="68" spans="1:8" ht="15">
      <c r="A68" s="1"/>
      <c r="B68" s="1"/>
      <c r="C68" s="1"/>
      <c r="D68" s="1"/>
      <c r="E68" s="1"/>
      <c r="F68" s="1"/>
      <c r="H68" s="1"/>
    </row>
    <row r="69" spans="1:8" ht="15">
      <c r="A69" s="1"/>
      <c r="B69" s="1"/>
      <c r="C69" s="1"/>
      <c r="D69" s="1"/>
      <c r="E69" s="1"/>
      <c r="F69" s="1"/>
      <c r="H69" s="1"/>
    </row>
    <row r="70" spans="1:8" ht="15">
      <c r="A70" s="1"/>
      <c r="B70" s="1"/>
      <c r="C70" s="1"/>
      <c r="D70" s="1"/>
      <c r="E70" s="1"/>
      <c r="F70" s="1"/>
      <c r="H70" s="1"/>
    </row>
    <row r="71" spans="1:8" ht="15">
      <c r="A71" s="1"/>
      <c r="B71" s="1"/>
      <c r="C71" s="1"/>
      <c r="D71" s="1"/>
      <c r="E71" s="1"/>
      <c r="F71" s="1"/>
      <c r="H71" s="1"/>
    </row>
    <row r="72" spans="1:8" ht="15">
      <c r="A72" s="1"/>
      <c r="B72" s="1"/>
      <c r="C72" s="1"/>
      <c r="D72" s="1"/>
      <c r="E72" s="1"/>
      <c r="F72" s="1"/>
      <c r="H72" s="1"/>
    </row>
    <row r="73" spans="1:8" ht="15">
      <c r="A73" s="1"/>
      <c r="B73" s="1"/>
      <c r="C73" s="1"/>
      <c r="D73" s="1"/>
      <c r="E73" s="1"/>
      <c r="F73" s="1"/>
      <c r="H73" s="1"/>
    </row>
    <row r="74" spans="1:8" ht="15">
      <c r="A74" s="1"/>
      <c r="B74" s="1"/>
      <c r="C74" s="1"/>
      <c r="D74" s="1"/>
      <c r="E74" s="1"/>
      <c r="F74" s="1"/>
      <c r="H74" s="1"/>
    </row>
    <row r="75" spans="1:8" ht="15">
      <c r="A75" s="1"/>
      <c r="B75" s="1"/>
      <c r="C75" s="1"/>
      <c r="D75" s="1"/>
      <c r="E75" s="1"/>
      <c r="F75" s="1"/>
      <c r="H75" s="1"/>
    </row>
    <row r="76" spans="1:8" ht="15">
      <c r="A76" s="1"/>
      <c r="B76" s="1"/>
      <c r="C76" s="1"/>
      <c r="D76" s="1"/>
      <c r="E76" s="1"/>
      <c r="F76" s="1"/>
      <c r="H76" s="1"/>
    </row>
    <row r="77" spans="1:9" ht="15">
      <c r="A77" s="1"/>
      <c r="B77" s="1"/>
      <c r="C77" s="1"/>
      <c r="D77" s="1"/>
      <c r="E77" s="1"/>
      <c r="F77" s="1"/>
      <c r="H77" s="1"/>
      <c r="I77" s="32"/>
    </row>
    <row r="78" spans="1:8" ht="15">
      <c r="A78" s="1"/>
      <c r="B78" s="1"/>
      <c r="C78" s="1"/>
      <c r="D78" s="1"/>
      <c r="E78" s="1"/>
      <c r="F78" s="1"/>
      <c r="H78" s="1"/>
    </row>
    <row r="79" spans="1:8" ht="15">
      <c r="A79" s="1"/>
      <c r="B79" s="1"/>
      <c r="C79" s="1"/>
      <c r="D79" s="1"/>
      <c r="E79" s="1"/>
      <c r="F79" s="1"/>
      <c r="G79" s="1"/>
      <c r="H79" s="1"/>
    </row>
    <row r="80" spans="1:8" ht="15">
      <c r="A80" s="1"/>
      <c r="B80" s="1"/>
      <c r="C80" s="1"/>
      <c r="D80" s="1"/>
      <c r="E80" s="1"/>
      <c r="F80" s="1"/>
      <c r="G80" s="1"/>
      <c r="H80" s="1"/>
    </row>
    <row r="81" spans="1:8" ht="15">
      <c r="A81" s="1"/>
      <c r="B81" s="1"/>
      <c r="C81" s="1"/>
      <c r="D81" s="1"/>
      <c r="E81" s="1"/>
      <c r="F81" s="1"/>
      <c r="G81" s="1"/>
      <c r="H81" s="1"/>
    </row>
    <row r="82" spans="1:8" ht="15">
      <c r="A82" s="1"/>
      <c r="B82" s="1"/>
      <c r="C82" s="1"/>
      <c r="D82" s="1"/>
      <c r="E82" s="1"/>
      <c r="F82" s="1"/>
      <c r="G82" s="1"/>
      <c r="H82" s="1"/>
    </row>
    <row r="83" spans="1:8" ht="15">
      <c r="A83" s="1"/>
      <c r="B83" s="1"/>
      <c r="C83" s="1"/>
      <c r="D83" s="1"/>
      <c r="E83" s="1"/>
      <c r="F83" s="1"/>
      <c r="G83" s="1"/>
      <c r="H83" s="1"/>
    </row>
    <row r="84" spans="1:8" ht="15">
      <c r="A84" s="1"/>
      <c r="B84" s="1"/>
      <c r="C84" s="1"/>
      <c r="D84" s="1"/>
      <c r="E84" s="1"/>
      <c r="F84" s="1"/>
      <c r="G84" s="1"/>
      <c r="H84" s="1"/>
    </row>
    <row r="85" spans="1:8" ht="15">
      <c r="A85" s="1"/>
      <c r="B85" s="1"/>
      <c r="C85" s="1"/>
      <c r="D85" s="1"/>
      <c r="E85" s="1"/>
      <c r="F85" s="1"/>
      <c r="G85" s="1"/>
      <c r="H85" s="1"/>
    </row>
    <row r="86" spans="1:8" ht="15">
      <c r="A86" s="1"/>
      <c r="B86" s="1"/>
      <c r="C86" s="1"/>
      <c r="D86" s="1"/>
      <c r="E86" s="1"/>
      <c r="F86" s="1"/>
      <c r="G86" s="1"/>
      <c r="H86" s="1"/>
    </row>
    <row r="87" spans="1:8" ht="15">
      <c r="A87" s="1"/>
      <c r="B87" s="1"/>
      <c r="C87" s="1"/>
      <c r="D87" s="1"/>
      <c r="E87" s="1"/>
      <c r="F87" s="1"/>
      <c r="G87" s="1"/>
      <c r="H87" s="1"/>
    </row>
    <row r="88" spans="1:8" ht="15">
      <c r="A88" s="1"/>
      <c r="B88" s="1"/>
      <c r="C88" s="1"/>
      <c r="D88" s="1"/>
      <c r="E88" s="1"/>
      <c r="F88" s="1"/>
      <c r="G88" s="1"/>
      <c r="H88" s="1"/>
    </row>
    <row r="89" spans="1:8" ht="15">
      <c r="A89" s="1"/>
      <c r="B89" s="1"/>
      <c r="C89" s="1"/>
      <c r="D89" s="1"/>
      <c r="E89" s="1"/>
      <c r="F89" s="1"/>
      <c r="G89" s="1"/>
      <c r="H89" s="1"/>
    </row>
    <row r="90" spans="1:8" ht="15">
      <c r="A90" s="1"/>
      <c r="B90" s="1"/>
      <c r="C90" s="1"/>
      <c r="D90" s="1"/>
      <c r="E90" s="1"/>
      <c r="F90" s="1"/>
      <c r="G90" s="1"/>
      <c r="H90" s="1"/>
    </row>
    <row r="91" spans="1:8" ht="15">
      <c r="A91" s="1"/>
      <c r="B91" s="1"/>
      <c r="C91" s="1"/>
      <c r="D91" s="1"/>
      <c r="E91" s="1"/>
      <c r="F91" s="1"/>
      <c r="G91" s="1"/>
      <c r="H91" s="1"/>
    </row>
    <row r="92" spans="1:8" ht="15">
      <c r="A92" s="1"/>
      <c r="B92" s="1"/>
      <c r="C92" s="1"/>
      <c r="D92" s="1"/>
      <c r="E92" s="1"/>
      <c r="F92" s="1"/>
      <c r="G92" s="1"/>
      <c r="H92" s="1"/>
    </row>
    <row r="93" spans="1:8" ht="15">
      <c r="A93" s="1"/>
      <c r="B93" s="1"/>
      <c r="C93" s="1"/>
      <c r="D93" s="1"/>
      <c r="E93" s="1"/>
      <c r="F93" s="1"/>
      <c r="G93" s="1"/>
      <c r="H93" s="1"/>
    </row>
    <row r="94" spans="1:8" ht="15">
      <c r="A94" s="1"/>
      <c r="B94" s="1"/>
      <c r="C94" s="1"/>
      <c r="D94" s="1"/>
      <c r="E94" s="1"/>
      <c r="F94" s="1"/>
      <c r="G94" s="1"/>
      <c r="H94" s="1"/>
    </row>
    <row r="95" spans="1:8" ht="15">
      <c r="A95" s="1"/>
      <c r="B95" s="1"/>
      <c r="C95" s="1"/>
      <c r="D95" s="1"/>
      <c r="E95" s="1"/>
      <c r="F95" s="1"/>
      <c r="G95" s="1"/>
      <c r="H95" s="1"/>
    </row>
    <row r="96" spans="1:8" ht="15">
      <c r="A96" s="1"/>
      <c r="B96" s="1"/>
      <c r="C96" s="1"/>
      <c r="D96" s="1"/>
      <c r="E96" s="1"/>
      <c r="F96" s="1"/>
      <c r="G96" s="1"/>
      <c r="H96" s="1"/>
    </row>
    <row r="97" ht="15">
      <c r="G97" s="1"/>
    </row>
    <row r="98" ht="15">
      <c r="G98" s="1"/>
    </row>
    <row r="99" ht="15">
      <c r="G99" s="1"/>
    </row>
  </sheetData>
  <sheetProtection sheet="1" objects="1" scenarios="1"/>
  <mergeCells count="1">
    <mergeCell ref="B1:C1"/>
  </mergeCells>
  <printOptions/>
  <pageMargins left="0.7" right="0.7" top="0.75" bottom="0.75" header="0.3" footer="0.3"/>
  <pageSetup fitToHeight="0" fitToWidth="1" horizontalDpi="600" verticalDpi="600" orientation="landscape" scale="79" r:id="rId2"/>
  <rowBreaks count="1" manualBreakCount="1">
    <brk id="17" max="255" man="1"/>
  </rowBreaks>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IU125"/>
  <sheetViews>
    <sheetView zoomScalePageLayoutView="0" workbookViewId="0" topLeftCell="A1">
      <selection activeCell="A1" sqref="A1"/>
    </sheetView>
  </sheetViews>
  <sheetFormatPr defaultColWidth="9.140625" defaultRowHeight="15"/>
  <cols>
    <col min="1" max="1" width="3.7109375" style="3" customWidth="1"/>
    <col min="2" max="2" width="56.140625" style="8" customWidth="1"/>
    <col min="3" max="8" width="15.7109375" style="1" customWidth="1"/>
    <col min="9" max="9" width="3.7109375" style="148" customWidth="1"/>
    <col min="10" max="10" width="13.00390625" style="263" customWidth="1"/>
    <col min="11" max="17" width="13.00390625" style="3" customWidth="1"/>
    <col min="18" max="16384" width="9.140625" style="3" customWidth="1"/>
  </cols>
  <sheetData>
    <row r="1" spans="1:8" ht="107.25" customHeight="1">
      <c r="A1" s="1"/>
      <c r="B1" s="351"/>
      <c r="C1" s="351"/>
      <c r="D1" s="48"/>
      <c r="E1" s="48"/>
      <c r="F1" s="2"/>
      <c r="G1" s="47"/>
      <c r="H1" s="47"/>
    </row>
    <row r="2" spans="2:10" s="100" customFormat="1" ht="40.5" customHeight="1">
      <c r="B2" s="255" t="s">
        <v>154</v>
      </c>
      <c r="C2" s="10"/>
      <c r="D2" s="149"/>
      <c r="E2" s="10"/>
      <c r="F2" s="10"/>
      <c r="G2" s="10"/>
      <c r="H2" s="11"/>
      <c r="I2" s="102"/>
      <c r="J2" s="264"/>
    </row>
    <row r="3" spans="2:10" s="100" customFormat="1" ht="45">
      <c r="B3" s="256"/>
      <c r="C3" s="10" t="s">
        <v>204</v>
      </c>
      <c r="D3" s="10" t="s">
        <v>265</v>
      </c>
      <c r="E3" s="10" t="s">
        <v>140</v>
      </c>
      <c r="F3" s="10" t="s">
        <v>208</v>
      </c>
      <c r="G3" s="10" t="s">
        <v>150</v>
      </c>
      <c r="H3" s="10" t="s">
        <v>209</v>
      </c>
      <c r="I3" s="102"/>
      <c r="J3" s="264"/>
    </row>
    <row r="4" spans="1:10" ht="15" customHeight="1">
      <c r="A4" s="1"/>
      <c r="B4" s="105" t="s">
        <v>133</v>
      </c>
      <c r="C4" s="166">
        <v>0.95</v>
      </c>
      <c r="D4" s="166">
        <v>1</v>
      </c>
      <c r="E4" s="166">
        <v>0.95</v>
      </c>
      <c r="F4" s="166">
        <v>1</v>
      </c>
      <c r="G4" s="166">
        <v>0.95</v>
      </c>
      <c r="H4" s="166">
        <v>0.95</v>
      </c>
      <c r="I4" s="30"/>
      <c r="J4" s="265" t="s">
        <v>271</v>
      </c>
    </row>
    <row r="5" spans="1:10" ht="15">
      <c r="A5" s="1"/>
      <c r="B5" s="105" t="s">
        <v>130</v>
      </c>
      <c r="C5" s="166">
        <v>0</v>
      </c>
      <c r="D5" s="166">
        <v>0</v>
      </c>
      <c r="E5" s="166">
        <v>0</v>
      </c>
      <c r="F5" s="166">
        <v>0</v>
      </c>
      <c r="G5" s="166">
        <v>0</v>
      </c>
      <c r="H5" s="166">
        <v>0</v>
      </c>
      <c r="I5" s="30"/>
      <c r="J5" s="265" t="s">
        <v>260</v>
      </c>
    </row>
    <row r="6" spans="1:10" ht="15">
      <c r="A6" s="1"/>
      <c r="B6" s="122" t="s">
        <v>125</v>
      </c>
      <c r="C6" s="168">
        <v>245</v>
      </c>
      <c r="D6" s="168">
        <v>245</v>
      </c>
      <c r="E6" s="168">
        <v>245</v>
      </c>
      <c r="F6" s="168">
        <v>245</v>
      </c>
      <c r="G6" s="168">
        <v>245</v>
      </c>
      <c r="H6" s="168">
        <v>245</v>
      </c>
      <c r="I6" s="30"/>
      <c r="J6" s="265" t="s">
        <v>210</v>
      </c>
    </row>
    <row r="7" spans="1:10" ht="15">
      <c r="A7" s="1"/>
      <c r="B7" s="105" t="s">
        <v>121</v>
      </c>
      <c r="C7" s="169">
        <v>40.82</v>
      </c>
      <c r="D7" s="169">
        <v>40.82</v>
      </c>
      <c r="E7" s="169">
        <v>40.82</v>
      </c>
      <c r="F7" s="169">
        <v>40.82</v>
      </c>
      <c r="G7" s="169">
        <v>40.82</v>
      </c>
      <c r="H7" s="169">
        <v>40.82</v>
      </c>
      <c r="I7" s="30"/>
      <c r="J7" s="265" t="s">
        <v>272</v>
      </c>
    </row>
    <row r="8" spans="1:10" ht="15">
      <c r="A8" s="1"/>
      <c r="B8" s="105" t="s">
        <v>118</v>
      </c>
      <c r="C8" s="169">
        <v>63.27</v>
      </c>
      <c r="D8" s="169">
        <v>63.27</v>
      </c>
      <c r="E8" s="169">
        <v>63.27</v>
      </c>
      <c r="F8" s="169">
        <v>63.27</v>
      </c>
      <c r="G8" s="169">
        <v>63.27</v>
      </c>
      <c r="H8" s="169">
        <v>63.27</v>
      </c>
      <c r="I8" s="30"/>
      <c r="J8" s="265" t="s">
        <v>261</v>
      </c>
    </row>
    <row r="9" spans="1:10" ht="15">
      <c r="A9" s="1"/>
      <c r="B9" s="105" t="s">
        <v>115</v>
      </c>
      <c r="C9" s="169">
        <v>250</v>
      </c>
      <c r="D9" s="169">
        <v>250</v>
      </c>
      <c r="E9" s="169">
        <v>250</v>
      </c>
      <c r="F9" s="169">
        <v>250</v>
      </c>
      <c r="G9" s="169">
        <v>250</v>
      </c>
      <c r="H9" s="169">
        <v>250</v>
      </c>
      <c r="I9" s="30"/>
      <c r="J9" s="265" t="s">
        <v>244</v>
      </c>
    </row>
    <row r="10" spans="1:10" ht="15">
      <c r="A10" s="1"/>
      <c r="B10" s="105" t="s">
        <v>110</v>
      </c>
      <c r="C10" s="315">
        <v>66.67</v>
      </c>
      <c r="D10" s="315">
        <v>66.67</v>
      </c>
      <c r="E10" s="315">
        <v>66.67</v>
      </c>
      <c r="F10" s="315">
        <v>66.67</v>
      </c>
      <c r="G10" s="315">
        <v>66.67</v>
      </c>
      <c r="H10" s="315">
        <v>66.67</v>
      </c>
      <c r="I10" s="30"/>
      <c r="J10" s="265" t="s">
        <v>368</v>
      </c>
    </row>
    <row r="11" spans="1:10" ht="15">
      <c r="A11" s="1"/>
      <c r="C11" s="119"/>
      <c r="D11" s="119"/>
      <c r="E11" s="119"/>
      <c r="F11" s="119"/>
      <c r="G11" s="119"/>
      <c r="H11" s="119"/>
      <c r="I11" s="30"/>
      <c r="J11" s="191"/>
    </row>
    <row r="12" spans="1:255" s="237" customFormat="1" ht="45">
      <c r="A12" s="1"/>
      <c r="B12" s="238"/>
      <c r="C12" s="10" t="s">
        <v>204</v>
      </c>
      <c r="D12" s="10" t="s">
        <v>153</v>
      </c>
      <c r="E12" s="10" t="s">
        <v>140</v>
      </c>
      <c r="F12" s="10" t="s">
        <v>208</v>
      </c>
      <c r="G12" s="10" t="s">
        <v>150</v>
      </c>
      <c r="H12" s="10" t="s">
        <v>209</v>
      </c>
      <c r="I12" s="30"/>
      <c r="J12" s="191"/>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10" ht="15">
      <c r="A13" s="1"/>
      <c r="B13" s="233" t="s">
        <v>101</v>
      </c>
      <c r="C13" s="234"/>
      <c r="D13" s="235"/>
      <c r="E13" s="235"/>
      <c r="F13" s="235"/>
      <c r="G13" s="236"/>
      <c r="H13" s="235"/>
      <c r="I13" s="30"/>
      <c r="J13" s="191"/>
    </row>
    <row r="14" spans="1:10" ht="15">
      <c r="A14" s="1"/>
      <c r="B14" s="154" t="s">
        <v>96</v>
      </c>
      <c r="C14" s="171">
        <v>11990</v>
      </c>
      <c r="D14" s="171" t="s">
        <v>54</v>
      </c>
      <c r="E14" s="171">
        <v>13900</v>
      </c>
      <c r="F14" s="169">
        <v>11990</v>
      </c>
      <c r="G14" s="169">
        <v>11990</v>
      </c>
      <c r="H14" s="169">
        <v>11990</v>
      </c>
      <c r="I14" s="30"/>
      <c r="J14" s="265" t="s">
        <v>266</v>
      </c>
    </row>
    <row r="15" spans="1:10" ht="15">
      <c r="A15" s="1"/>
      <c r="B15" s="154" t="s">
        <v>93</v>
      </c>
      <c r="C15" s="171">
        <v>11990</v>
      </c>
      <c r="D15" s="169">
        <v>11990</v>
      </c>
      <c r="E15" s="169">
        <v>11990</v>
      </c>
      <c r="F15" s="169">
        <v>11990</v>
      </c>
      <c r="G15" s="169">
        <v>11990</v>
      </c>
      <c r="H15" s="169">
        <v>11990</v>
      </c>
      <c r="I15" s="30"/>
      <c r="J15" s="265" t="s">
        <v>245</v>
      </c>
    </row>
    <row r="16" spans="1:10" ht="15">
      <c r="A16" s="1"/>
      <c r="B16" s="154" t="s">
        <v>199</v>
      </c>
      <c r="C16" s="309">
        <f>ROUND(((TPS_number_of_access_infrastructure_servers*IF(TPS_access_infrastructure_server_cost="N/A",0,TPS_access_infrastructure_server_cost))+(TPS_number_of_management_servers*TPS_management_server_cost))/(TPS_number_of_access_infrastructure_servers+TPS_number_of_management_servers),0)</f>
        <v>11990</v>
      </c>
      <c r="D16" s="309">
        <f>ROUND(((TMR_number_of_access_infrastructure_servers*IF(TMR_access_infrastructure_server_cost="N/A",0,TMR_access_infrastructure_server_cost))+(TMR_number_of_management_servers*TMR_management_server_cost))/(TMR_number_of_access_infrastructure_servers+TMR_number_of_management_servers),0)</f>
        <v>11990</v>
      </c>
      <c r="E16" s="309">
        <f>ROUND(((VHD_number_of_access_infrastructure_servers*IF(VHD_access_infrastructure_server_cost="N/A",0,VHD_access_infrastructure_server_cost))+(VHD_number_of_management_servers*VHD_management_server_cost))/(VHD_number_of_access_infrastructure_servers+VHD_number_of_management_servers),0)</f>
        <v>13772</v>
      </c>
      <c r="F16" s="309">
        <f>ROUND(((OSS_number_of_access_infrastructure_servers*IF(OSS_access_infrastructure_server_cost="N/A",0,OSS_access_infrastructure_server_cost))+(OSS_number_of_management_servers*OSS_management_server_cost))/(OSS_number_of_access_infrastructure_servers+OSS_number_of_management_servers),0)</f>
        <v>11990</v>
      </c>
      <c r="G16" s="309">
        <f>ROUND(((BPC_number_of_access_infrastructure_servers*IF(BPC_BPC_access_infrastructure_server_cost="N/A",0,BPC_BPC_access_infrastructure_server_cost))+(BPC_number_of_management_servers*BPC_management_server_cost))/(BPC_number_of_access_infrastructure_servers+BPC_number_of_management_servers),0)</f>
        <v>11990</v>
      </c>
      <c r="H16" s="309">
        <f>ROUND(((AS_number_of_access_infrastructure_servers*IF(AS_access_infrastructure_server_cost="N/A",0,AS_access_infrastructure_server_cost))+(AS_number_of_management_servers*AS_management_server_cost))/(AS_number_of_access_infrastructure_servers+AS_number_of_management_servers),0)</f>
        <v>11990</v>
      </c>
      <c r="I16" s="30"/>
      <c r="J16" s="265" t="s">
        <v>211</v>
      </c>
    </row>
    <row r="17" spans="1:10" ht="15">
      <c r="A17" s="1"/>
      <c r="B17" s="154" t="s">
        <v>91</v>
      </c>
      <c r="C17" s="169">
        <v>453.6</v>
      </c>
      <c r="D17" s="169">
        <v>730</v>
      </c>
      <c r="E17" s="169">
        <v>453.6</v>
      </c>
      <c r="F17" s="169">
        <v>655</v>
      </c>
      <c r="G17" s="169">
        <v>453.6</v>
      </c>
      <c r="H17" s="169">
        <v>730</v>
      </c>
      <c r="I17" s="30"/>
      <c r="J17" s="265" t="s">
        <v>273</v>
      </c>
    </row>
    <row r="18" spans="1:10" ht="15">
      <c r="A18" s="1"/>
      <c r="B18" s="154" t="s">
        <v>89</v>
      </c>
      <c r="C18" s="169">
        <v>259.99</v>
      </c>
      <c r="D18" s="169">
        <v>259.99</v>
      </c>
      <c r="E18" s="169">
        <v>259.99</v>
      </c>
      <c r="F18" s="169">
        <v>259.99</v>
      </c>
      <c r="G18" s="169">
        <v>259.99</v>
      </c>
      <c r="H18" s="169">
        <v>259.99</v>
      </c>
      <c r="I18" s="30"/>
      <c r="J18" s="265" t="s">
        <v>212</v>
      </c>
    </row>
    <row r="19" spans="1:10" ht="15">
      <c r="A19" s="1"/>
      <c r="B19" s="225" t="s">
        <v>160</v>
      </c>
      <c r="C19" s="227">
        <v>250</v>
      </c>
      <c r="D19" s="227">
        <v>0</v>
      </c>
      <c r="E19" s="227">
        <v>189</v>
      </c>
      <c r="F19" s="227">
        <v>100</v>
      </c>
      <c r="G19" s="227">
        <v>25</v>
      </c>
      <c r="H19" s="227">
        <v>30</v>
      </c>
      <c r="I19" s="30"/>
      <c r="J19" s="265" t="s">
        <v>246</v>
      </c>
    </row>
    <row r="20" spans="2:10" ht="15">
      <c r="B20" s="156" t="s">
        <v>83</v>
      </c>
      <c r="C20" s="26">
        <f>TPS_clients_per_access_server</f>
        <v>57</v>
      </c>
      <c r="D20" s="29" t="str">
        <f>TMR_clients_per_access_server</f>
        <v>N/A</v>
      </c>
      <c r="E20" s="26">
        <f>VHD_clients_per_access_server</f>
        <v>36</v>
      </c>
      <c r="F20" s="27">
        <f>OSS_clients_per_access_server</f>
        <v>153</v>
      </c>
      <c r="G20" s="28" t="str">
        <f>BPC_clients_per_access_server</f>
        <v>N/A</v>
      </c>
      <c r="H20" s="29">
        <f>AS_clients_per_access_server</f>
        <v>399</v>
      </c>
      <c r="J20" s="265" t="s">
        <v>262</v>
      </c>
    </row>
    <row r="21" spans="1:10" ht="15">
      <c r="A21" s="1"/>
      <c r="B21" s="156" t="s">
        <v>79</v>
      </c>
      <c r="C21" s="228">
        <v>0</v>
      </c>
      <c r="D21" s="228">
        <v>0</v>
      </c>
      <c r="E21" s="228">
        <v>0</v>
      </c>
      <c r="F21" s="228">
        <v>0</v>
      </c>
      <c r="G21" s="228">
        <v>0</v>
      </c>
      <c r="H21" s="228">
        <v>0</v>
      </c>
      <c r="I21" s="30"/>
      <c r="J21" s="265" t="s">
        <v>274</v>
      </c>
    </row>
    <row r="22" spans="1:10" ht="15">
      <c r="A22" s="1"/>
      <c r="B22" s="156" t="s">
        <v>74</v>
      </c>
      <c r="C22" s="275">
        <v>500</v>
      </c>
      <c r="D22" s="275">
        <v>800</v>
      </c>
      <c r="E22" s="275">
        <v>500</v>
      </c>
      <c r="F22" s="275">
        <v>400</v>
      </c>
      <c r="G22" s="275">
        <v>375</v>
      </c>
      <c r="H22" s="275">
        <v>400</v>
      </c>
      <c r="I22" s="157"/>
      <c r="J22" s="265" t="s">
        <v>213</v>
      </c>
    </row>
    <row r="23" spans="1:10" ht="15">
      <c r="A23" s="1"/>
      <c r="B23" s="155" t="s">
        <v>70</v>
      </c>
      <c r="C23" s="275">
        <v>0</v>
      </c>
      <c r="D23" s="275">
        <v>0</v>
      </c>
      <c r="E23" s="275">
        <v>0</v>
      </c>
      <c r="F23" s="275">
        <v>0</v>
      </c>
      <c r="G23" s="275">
        <v>0</v>
      </c>
      <c r="H23" s="275">
        <v>0</v>
      </c>
      <c r="I23" s="157"/>
      <c r="J23" s="265" t="s">
        <v>274</v>
      </c>
    </row>
    <row r="24" spans="1:10" ht="15" customHeight="1">
      <c r="A24" s="1"/>
      <c r="B24" s="156" t="s">
        <v>68</v>
      </c>
      <c r="C24" s="275">
        <v>4</v>
      </c>
      <c r="D24" s="275">
        <v>4</v>
      </c>
      <c r="E24" s="275">
        <v>4</v>
      </c>
      <c r="F24" s="275">
        <v>4</v>
      </c>
      <c r="G24" s="275">
        <v>4</v>
      </c>
      <c r="H24" s="275">
        <v>4</v>
      </c>
      <c r="I24" s="191"/>
      <c r="J24" s="265" t="s">
        <v>275</v>
      </c>
    </row>
    <row r="25" spans="1:10" ht="15" customHeight="1">
      <c r="A25" s="1"/>
      <c r="B25" s="156" t="s">
        <v>307</v>
      </c>
      <c r="C25" s="275">
        <v>320</v>
      </c>
      <c r="D25" s="275">
        <v>0</v>
      </c>
      <c r="E25" s="275">
        <v>320</v>
      </c>
      <c r="F25" s="275">
        <v>320</v>
      </c>
      <c r="G25" s="275">
        <v>320</v>
      </c>
      <c r="H25" s="275">
        <v>960</v>
      </c>
      <c r="I25" s="191"/>
      <c r="J25" s="276" t="s">
        <v>309</v>
      </c>
    </row>
    <row r="26" spans="1:10" ht="15">
      <c r="A26" s="1"/>
      <c r="B26" s="156" t="s">
        <v>308</v>
      </c>
      <c r="C26" s="275">
        <v>20</v>
      </c>
      <c r="D26" s="275">
        <v>25</v>
      </c>
      <c r="E26" s="275">
        <v>20</v>
      </c>
      <c r="F26" s="275">
        <v>25</v>
      </c>
      <c r="G26" s="275">
        <v>25</v>
      </c>
      <c r="H26" s="275">
        <v>25</v>
      </c>
      <c r="I26" s="191"/>
      <c r="J26" s="265" t="s">
        <v>276</v>
      </c>
    </row>
    <row r="27" spans="1:10" ht="15">
      <c r="A27" s="1"/>
      <c r="B27" s="156" t="s">
        <v>161</v>
      </c>
      <c r="C27" s="229">
        <v>440</v>
      </c>
      <c r="D27" s="229">
        <v>440</v>
      </c>
      <c r="E27" s="229">
        <v>440</v>
      </c>
      <c r="F27" s="229">
        <v>440</v>
      </c>
      <c r="G27" s="229">
        <v>440</v>
      </c>
      <c r="H27" s="229">
        <v>440</v>
      </c>
      <c r="I27" s="30"/>
      <c r="J27" s="265" t="s">
        <v>277</v>
      </c>
    </row>
    <row r="28" spans="1:10" ht="15">
      <c r="A28" s="1"/>
      <c r="B28" s="156" t="s">
        <v>162</v>
      </c>
      <c r="C28" s="229">
        <v>50</v>
      </c>
      <c r="D28" s="229">
        <v>50</v>
      </c>
      <c r="E28" s="229">
        <v>50</v>
      </c>
      <c r="F28" s="229">
        <v>50</v>
      </c>
      <c r="G28" s="229">
        <v>50</v>
      </c>
      <c r="H28" s="229">
        <v>50</v>
      </c>
      <c r="I28" s="30"/>
      <c r="J28" s="265" t="s">
        <v>263</v>
      </c>
    </row>
    <row r="29" spans="1:14" ht="15" customHeight="1">
      <c r="A29" s="1"/>
      <c r="B29" s="156" t="s">
        <v>328</v>
      </c>
      <c r="C29" s="229">
        <v>8000</v>
      </c>
      <c r="D29" s="229">
        <v>8000</v>
      </c>
      <c r="E29" s="229">
        <v>8000</v>
      </c>
      <c r="F29" s="229">
        <v>8000</v>
      </c>
      <c r="G29" s="229">
        <v>8000</v>
      </c>
      <c r="H29" s="229">
        <v>8000</v>
      </c>
      <c r="I29" s="30"/>
      <c r="J29" s="291" t="s">
        <v>329</v>
      </c>
      <c r="K29" s="282"/>
      <c r="L29" s="282"/>
      <c r="M29" s="282"/>
      <c r="N29" s="282"/>
    </row>
    <row r="30" spans="1:10" ht="15">
      <c r="A30" s="1"/>
      <c r="B30" s="156" t="s">
        <v>61</v>
      </c>
      <c r="C30" s="275">
        <v>25</v>
      </c>
      <c r="D30" s="251">
        <v>25</v>
      </c>
      <c r="E30" s="251">
        <v>25</v>
      </c>
      <c r="F30" s="251">
        <v>25</v>
      </c>
      <c r="G30" s="251">
        <v>25</v>
      </c>
      <c r="H30" s="251">
        <v>25</v>
      </c>
      <c r="I30" s="30"/>
      <c r="J30" s="266" t="s">
        <v>247</v>
      </c>
    </row>
    <row r="31" spans="1:10" ht="15">
      <c r="A31" s="1"/>
      <c r="B31" s="156" t="s">
        <v>318</v>
      </c>
      <c r="C31" s="227">
        <v>300</v>
      </c>
      <c r="D31" s="227">
        <v>300</v>
      </c>
      <c r="E31" s="227">
        <v>300</v>
      </c>
      <c r="F31" s="227">
        <v>300</v>
      </c>
      <c r="G31" s="227">
        <v>300</v>
      </c>
      <c r="H31" s="227">
        <v>300</v>
      </c>
      <c r="I31" s="30"/>
      <c r="J31" s="265" t="s">
        <v>331</v>
      </c>
    </row>
    <row r="32" spans="1:10" ht="15">
      <c r="A32" s="1"/>
      <c r="B32" s="156" t="s">
        <v>332</v>
      </c>
      <c r="C32" s="230">
        <v>0.3</v>
      </c>
      <c r="D32" s="231">
        <v>0</v>
      </c>
      <c r="E32" s="231">
        <v>0.3</v>
      </c>
      <c r="F32" s="231">
        <v>0.3</v>
      </c>
      <c r="G32" s="231">
        <v>0.3</v>
      </c>
      <c r="H32" s="231">
        <v>0</v>
      </c>
      <c r="I32" s="30"/>
      <c r="J32" s="265" t="s">
        <v>333</v>
      </c>
    </row>
    <row r="33" spans="1:10" ht="15">
      <c r="A33" s="1"/>
      <c r="B33" s="156" t="s">
        <v>317</v>
      </c>
      <c r="C33" s="317">
        <v>5400</v>
      </c>
      <c r="D33" s="317">
        <v>5400</v>
      </c>
      <c r="E33" s="317">
        <v>5400</v>
      </c>
      <c r="F33" s="317">
        <v>5400</v>
      </c>
      <c r="G33" s="317">
        <v>5400</v>
      </c>
      <c r="H33" s="317">
        <v>5400</v>
      </c>
      <c r="I33" s="30"/>
      <c r="J33" s="265" t="s">
        <v>367</v>
      </c>
    </row>
    <row r="34" spans="1:10" ht="15">
      <c r="A34" s="1"/>
      <c r="B34" s="154" t="s">
        <v>214</v>
      </c>
      <c r="C34" s="28" t="s">
        <v>54</v>
      </c>
      <c r="D34" s="28" t="s">
        <v>54</v>
      </c>
      <c r="E34" s="28" t="s">
        <v>54</v>
      </c>
      <c r="F34" s="28" t="s">
        <v>54</v>
      </c>
      <c r="G34" s="171">
        <v>1103</v>
      </c>
      <c r="H34" s="28" t="s">
        <v>54</v>
      </c>
      <c r="I34" s="30"/>
      <c r="J34" s="265" t="s">
        <v>215</v>
      </c>
    </row>
    <row r="35" spans="1:10" ht="15">
      <c r="A35" s="1"/>
      <c r="B35" s="158" t="s">
        <v>55</v>
      </c>
      <c r="C35" s="28" t="s">
        <v>54</v>
      </c>
      <c r="D35" s="28" t="s">
        <v>54</v>
      </c>
      <c r="E35" s="28" t="s">
        <v>54</v>
      </c>
      <c r="F35" s="28" t="s">
        <v>54</v>
      </c>
      <c r="G35" s="171">
        <v>7000</v>
      </c>
      <c r="H35" s="28" t="s">
        <v>54</v>
      </c>
      <c r="I35" s="30"/>
      <c r="J35" s="265" t="s">
        <v>216</v>
      </c>
    </row>
    <row r="36" spans="1:10" ht="26.25">
      <c r="A36" s="1"/>
      <c r="B36" s="105" t="s">
        <v>52</v>
      </c>
      <c r="C36" s="172">
        <v>0</v>
      </c>
      <c r="D36" s="172">
        <v>0</v>
      </c>
      <c r="E36" s="172">
        <v>15</v>
      </c>
      <c r="F36" s="172">
        <v>10</v>
      </c>
      <c r="G36" s="172">
        <v>10</v>
      </c>
      <c r="H36" s="172">
        <v>0</v>
      </c>
      <c r="I36" s="30"/>
      <c r="J36" s="265" t="s">
        <v>217</v>
      </c>
    </row>
    <row r="37" spans="1:10" ht="15">
      <c r="A37" s="1"/>
      <c r="B37" s="105" t="s">
        <v>316</v>
      </c>
      <c r="C37" s="314">
        <v>6</v>
      </c>
      <c r="D37" s="314">
        <v>6</v>
      </c>
      <c r="E37" s="314">
        <v>6</v>
      </c>
      <c r="F37" s="314">
        <v>6</v>
      </c>
      <c r="G37" s="314">
        <v>6</v>
      </c>
      <c r="H37" s="314">
        <v>6</v>
      </c>
      <c r="I37" s="160"/>
      <c r="J37" s="265" t="s">
        <v>330</v>
      </c>
    </row>
    <row r="38" spans="1:10" ht="15">
      <c r="A38" s="1"/>
      <c r="B38" s="105" t="s">
        <v>50</v>
      </c>
      <c r="C38" s="315">
        <v>15</v>
      </c>
      <c r="D38" s="315">
        <v>30</v>
      </c>
      <c r="E38" s="315">
        <v>15</v>
      </c>
      <c r="F38" s="315">
        <v>59</v>
      </c>
      <c r="G38" s="315">
        <v>15</v>
      </c>
      <c r="H38" s="315">
        <v>59</v>
      </c>
      <c r="I38" s="30"/>
      <c r="J38" s="265" t="s">
        <v>278</v>
      </c>
    </row>
    <row r="39" spans="1:10" ht="15">
      <c r="A39" s="1"/>
      <c r="B39" s="159" t="s">
        <v>47</v>
      </c>
      <c r="C39" s="316">
        <v>12</v>
      </c>
      <c r="D39" s="316">
        <v>12</v>
      </c>
      <c r="E39" s="316">
        <v>12</v>
      </c>
      <c r="F39" s="316">
        <v>12</v>
      </c>
      <c r="G39" s="316">
        <v>12</v>
      </c>
      <c r="H39" s="316">
        <v>12</v>
      </c>
      <c r="I39" s="30"/>
      <c r="J39" s="265" t="s">
        <v>315</v>
      </c>
    </row>
    <row r="40" spans="1:10" ht="15">
      <c r="A40" s="1"/>
      <c r="B40" s="154" t="s">
        <v>218</v>
      </c>
      <c r="C40" s="166">
        <v>0.02</v>
      </c>
      <c r="D40" s="166">
        <v>0</v>
      </c>
      <c r="E40" s="166">
        <v>0</v>
      </c>
      <c r="F40" s="166">
        <v>0</v>
      </c>
      <c r="G40" s="166">
        <v>0</v>
      </c>
      <c r="H40" s="166">
        <v>0</v>
      </c>
      <c r="I40" s="30"/>
      <c r="J40" s="265" t="s">
        <v>220</v>
      </c>
    </row>
    <row r="41" spans="1:10" ht="15">
      <c r="A41" s="1"/>
      <c r="B41" s="154" t="s">
        <v>219</v>
      </c>
      <c r="C41" s="166">
        <v>0.01</v>
      </c>
      <c r="D41" s="166">
        <v>0</v>
      </c>
      <c r="E41" s="166">
        <v>0</v>
      </c>
      <c r="F41" s="166">
        <v>0</v>
      </c>
      <c r="G41" s="166">
        <v>0</v>
      </c>
      <c r="H41" s="166">
        <v>1</v>
      </c>
      <c r="I41" s="30"/>
      <c r="J41" s="265" t="s">
        <v>221</v>
      </c>
    </row>
    <row r="42" spans="1:10" s="267" customFormat="1" ht="15">
      <c r="A42" s="273"/>
      <c r="B42" s="154" t="s">
        <v>310</v>
      </c>
      <c r="C42" s="277">
        <v>40</v>
      </c>
      <c r="D42" s="277">
        <v>5</v>
      </c>
      <c r="E42" s="277">
        <v>27.5</v>
      </c>
      <c r="F42" s="277">
        <v>30</v>
      </c>
      <c r="G42" s="277">
        <v>25</v>
      </c>
      <c r="H42" s="277">
        <v>20</v>
      </c>
      <c r="I42" s="160"/>
      <c r="J42" s="265" t="s">
        <v>311</v>
      </c>
    </row>
    <row r="43" spans="1:10" ht="15">
      <c r="A43" s="1"/>
      <c r="B43" s="154" t="s">
        <v>163</v>
      </c>
      <c r="C43" s="171">
        <v>125</v>
      </c>
      <c r="D43" s="171">
        <v>125</v>
      </c>
      <c r="E43" s="171">
        <v>125</v>
      </c>
      <c r="F43" s="171">
        <v>125</v>
      </c>
      <c r="G43" s="171">
        <v>125</v>
      </c>
      <c r="H43" s="171">
        <v>125</v>
      </c>
      <c r="I43" s="30"/>
      <c r="J43" s="265" t="s">
        <v>279</v>
      </c>
    </row>
    <row r="44" spans="1:10" ht="15">
      <c r="A44" s="1"/>
      <c r="B44" s="154" t="s">
        <v>312</v>
      </c>
      <c r="C44" s="172">
        <v>2650</v>
      </c>
      <c r="D44" s="172">
        <v>2650</v>
      </c>
      <c r="E44" s="172">
        <v>2650</v>
      </c>
      <c r="F44" s="172">
        <v>2650</v>
      </c>
      <c r="G44" s="172">
        <v>2650</v>
      </c>
      <c r="H44" s="172">
        <v>6</v>
      </c>
      <c r="I44" s="30"/>
      <c r="J44" s="265" t="s">
        <v>222</v>
      </c>
    </row>
    <row r="45" spans="1:10" ht="15">
      <c r="A45" s="1"/>
      <c r="B45" s="154" t="s">
        <v>39</v>
      </c>
      <c r="C45" s="172">
        <v>3</v>
      </c>
      <c r="D45" s="172">
        <v>0</v>
      </c>
      <c r="E45" s="172">
        <v>2</v>
      </c>
      <c r="F45" s="172">
        <v>1</v>
      </c>
      <c r="G45" s="172">
        <v>2</v>
      </c>
      <c r="H45" s="172">
        <v>1</v>
      </c>
      <c r="I45" s="160"/>
      <c r="J45" s="266" t="s">
        <v>223</v>
      </c>
    </row>
    <row r="46" spans="1:10" ht="15">
      <c r="A46" s="1"/>
      <c r="B46" s="154" t="s">
        <v>203</v>
      </c>
      <c r="C46" s="172">
        <v>30</v>
      </c>
      <c r="D46" s="172">
        <v>30</v>
      </c>
      <c r="E46" s="172">
        <v>30</v>
      </c>
      <c r="F46" s="172">
        <v>30</v>
      </c>
      <c r="G46" s="172">
        <v>30</v>
      </c>
      <c r="H46" s="172">
        <v>30</v>
      </c>
      <c r="I46" s="30"/>
      <c r="J46" s="265" t="s">
        <v>224</v>
      </c>
    </row>
    <row r="47" spans="1:10" ht="15">
      <c r="A47" s="1"/>
      <c r="B47" s="154" t="s">
        <v>37</v>
      </c>
      <c r="C47" s="172">
        <v>80</v>
      </c>
      <c r="D47" s="172">
        <v>0</v>
      </c>
      <c r="E47" s="172">
        <v>80</v>
      </c>
      <c r="F47" s="172">
        <v>40</v>
      </c>
      <c r="G47" s="172">
        <v>80</v>
      </c>
      <c r="H47" s="172">
        <v>40</v>
      </c>
      <c r="I47" s="160"/>
      <c r="J47" s="266" t="s">
        <v>267</v>
      </c>
    </row>
    <row r="48" spans="1:10" ht="15">
      <c r="A48" s="1"/>
      <c r="B48" s="154" t="s">
        <v>200</v>
      </c>
      <c r="C48" s="171">
        <v>2500</v>
      </c>
      <c r="D48" s="171">
        <v>2500</v>
      </c>
      <c r="E48" s="171">
        <v>2500</v>
      </c>
      <c r="F48" s="171">
        <v>2500</v>
      </c>
      <c r="G48" s="171">
        <v>2500</v>
      </c>
      <c r="H48" s="171">
        <v>2500</v>
      </c>
      <c r="I48" s="160"/>
      <c r="J48" s="266" t="s">
        <v>225</v>
      </c>
    </row>
    <row r="49" spans="1:10" ht="15">
      <c r="A49" s="1"/>
      <c r="B49" s="154" t="s">
        <v>201</v>
      </c>
      <c r="C49" s="308">
        <f>ROUND(TPS_admin_training_hours*TPS_admin_training_cost/40,0)</f>
        <v>5000</v>
      </c>
      <c r="D49" s="308">
        <f>ROUND(TMR_admin_training_hours*TMR_admin_training_cost/40,0)</f>
        <v>0</v>
      </c>
      <c r="E49" s="308">
        <f>ROUND(VHD_admin_training_hours*VHD_admin_training_cost/40,0)</f>
        <v>5000</v>
      </c>
      <c r="F49" s="308">
        <f>ROUND(OSS_admin_training_hours*OSS_admin_training_cost/40,0)</f>
        <v>2500</v>
      </c>
      <c r="G49" s="308">
        <f>ROUND(BPC_admin_training_hours*BPC_admin_training_cost/40,0)</f>
        <v>5000</v>
      </c>
      <c r="H49" s="308">
        <f>ROUND(AS_admin_training_hours*AS_admin_training_cost/40,0)</f>
        <v>2500</v>
      </c>
      <c r="I49" s="160"/>
      <c r="J49" s="266" t="s">
        <v>264</v>
      </c>
    </row>
    <row r="50" spans="1:10" ht="15">
      <c r="A50" s="1"/>
      <c r="B50" s="154" t="s">
        <v>32</v>
      </c>
      <c r="C50" s="171">
        <v>0</v>
      </c>
      <c r="D50" s="171">
        <v>0</v>
      </c>
      <c r="E50" s="171">
        <v>0</v>
      </c>
      <c r="F50" s="171">
        <v>0</v>
      </c>
      <c r="G50" s="171">
        <v>0</v>
      </c>
      <c r="H50" s="171">
        <v>0</v>
      </c>
      <c r="I50" s="30"/>
      <c r="J50" s="266" t="s">
        <v>226</v>
      </c>
    </row>
    <row r="51" spans="1:10" ht="15">
      <c r="A51" s="1"/>
      <c r="B51" s="154" t="s">
        <v>165</v>
      </c>
      <c r="C51" s="166">
        <v>1</v>
      </c>
      <c r="D51" s="166">
        <v>0</v>
      </c>
      <c r="E51" s="166">
        <v>1</v>
      </c>
      <c r="F51" s="166">
        <v>1</v>
      </c>
      <c r="G51" s="166">
        <v>1</v>
      </c>
      <c r="H51" s="166">
        <v>1</v>
      </c>
      <c r="I51" s="30"/>
      <c r="J51" s="266" t="s">
        <v>280</v>
      </c>
    </row>
    <row r="52" spans="1:10" ht="15">
      <c r="A52" s="1"/>
      <c r="B52" s="161"/>
      <c r="C52" s="119"/>
      <c r="D52" s="119"/>
      <c r="E52" s="119"/>
      <c r="F52" s="119"/>
      <c r="G52" s="119"/>
      <c r="H52" s="119"/>
      <c r="I52" s="30"/>
      <c r="J52" s="257"/>
    </row>
    <row r="53" spans="1:255" s="237" customFormat="1" ht="45">
      <c r="A53" s="1"/>
      <c r="B53" s="238"/>
      <c r="C53" s="10" t="s">
        <v>204</v>
      </c>
      <c r="D53" s="10" t="s">
        <v>153</v>
      </c>
      <c r="E53" s="10" t="s">
        <v>140</v>
      </c>
      <c r="F53" s="10" t="s">
        <v>208</v>
      </c>
      <c r="G53" s="10" t="s">
        <v>150</v>
      </c>
      <c r="H53" s="10" t="s">
        <v>209</v>
      </c>
      <c r="I53" s="30"/>
      <c r="J53" s="257"/>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row>
    <row r="54" spans="1:10" ht="15">
      <c r="A54" s="1"/>
      <c r="B54" s="153" t="s">
        <v>27</v>
      </c>
      <c r="C54" s="187"/>
      <c r="D54" s="188"/>
      <c r="E54" s="188"/>
      <c r="F54" s="188"/>
      <c r="G54" s="189"/>
      <c r="H54" s="188"/>
      <c r="I54" s="30"/>
      <c r="J54" s="257"/>
    </row>
    <row r="55" spans="1:10" ht="15">
      <c r="A55" s="1"/>
      <c r="B55" s="151" t="s">
        <v>180</v>
      </c>
      <c r="C55" s="173">
        <v>8</v>
      </c>
      <c r="D55" s="173">
        <v>8</v>
      </c>
      <c r="E55" s="173">
        <v>8</v>
      </c>
      <c r="F55" s="173">
        <v>8</v>
      </c>
      <c r="G55" s="173">
        <v>8</v>
      </c>
      <c r="H55" s="173">
        <v>8</v>
      </c>
      <c r="I55" s="30"/>
      <c r="J55" s="266" t="s">
        <v>227</v>
      </c>
    </row>
    <row r="56" spans="1:10" ht="15">
      <c r="A56" s="1"/>
      <c r="B56" s="151" t="s">
        <v>181</v>
      </c>
      <c r="C56" s="173">
        <v>16</v>
      </c>
      <c r="D56" s="173">
        <v>16</v>
      </c>
      <c r="E56" s="173">
        <v>16</v>
      </c>
      <c r="F56" s="173">
        <v>16</v>
      </c>
      <c r="G56" s="173">
        <v>16</v>
      </c>
      <c r="H56" s="173">
        <v>16</v>
      </c>
      <c r="I56" s="30"/>
      <c r="J56" s="266" t="s">
        <v>228</v>
      </c>
    </row>
    <row r="57" spans="1:10" ht="26.25">
      <c r="A57" s="1"/>
      <c r="B57" s="151" t="s">
        <v>183</v>
      </c>
      <c r="C57" s="173">
        <v>0</v>
      </c>
      <c r="D57" s="173">
        <v>0</v>
      </c>
      <c r="E57" s="173">
        <v>0</v>
      </c>
      <c r="F57" s="173">
        <v>0</v>
      </c>
      <c r="G57" s="173">
        <v>0</v>
      </c>
      <c r="H57" s="173">
        <v>0</v>
      </c>
      <c r="I57" s="30"/>
      <c r="J57" s="266" t="s">
        <v>229</v>
      </c>
    </row>
    <row r="58" spans="1:10" ht="15">
      <c r="A58" s="1"/>
      <c r="B58" s="151" t="s">
        <v>182</v>
      </c>
      <c r="C58" s="173">
        <v>0</v>
      </c>
      <c r="D58" s="173">
        <v>0</v>
      </c>
      <c r="E58" s="173">
        <v>0</v>
      </c>
      <c r="F58" s="173">
        <v>0</v>
      </c>
      <c r="G58" s="173">
        <v>0</v>
      </c>
      <c r="H58" s="173">
        <v>0</v>
      </c>
      <c r="I58" s="30"/>
      <c r="J58" s="266" t="s">
        <v>230</v>
      </c>
    </row>
    <row r="59" spans="1:10" ht="15">
      <c r="A59" s="1"/>
      <c r="B59" s="70" t="s">
        <v>185</v>
      </c>
      <c r="C59" s="307">
        <f>ROUND((TPS_Client_On_Hours_Per_Day*TPS_workdays_per_year)+(TPS_Client_On_Hours_Per_HoliDay*(365-TPS_workdays_per_year)),0)</f>
        <v>1960</v>
      </c>
      <c r="D59" s="307">
        <f>ROUND((TMR_Client_On_Hours_Per_Day*TMR_workdays_per_year)+(TMR_Client_On_Hours_Per_Holiday*(365-TMR_workdays_per_year)),0)</f>
        <v>1960</v>
      </c>
      <c r="E59" s="307">
        <f>ROUND((VHD_Client_On_Hours_Per_Day*VHD_workdays_per_year)+(VHD_Client_On_Hours_Per_Holiday*(365-VHD_workdays_per_year)),0)</f>
        <v>1960</v>
      </c>
      <c r="F59" s="307">
        <f>ROUND((OSS_Client_On_Hours_Per_Day*OSS_workdays_per_year)+(OSS_Client_On_Hours_Per_Holiday*(365-OSS_workdays_per_year)),0)</f>
        <v>1960</v>
      </c>
      <c r="G59" s="307">
        <f>ROUND((BPC_Client_On_Hours_Per_Day*BPC_workdays_per_year)+(BPC_Client_On_Hours_Per_Holiday*(365-BPC_workdays_per_year)),0)</f>
        <v>1960</v>
      </c>
      <c r="H59" s="307">
        <f>ROUND((AS_Client_On_Hours_Per_Day*AS_workdays_per_year)+(AS_Client_On_Hours_Per_Holiday*(365-AS_workdays_per_year)),0)</f>
        <v>1960</v>
      </c>
      <c r="I59" s="30"/>
      <c r="J59" s="266" t="s">
        <v>231</v>
      </c>
    </row>
    <row r="60" spans="1:10" ht="15">
      <c r="A60" s="1"/>
      <c r="B60" s="70" t="s">
        <v>184</v>
      </c>
      <c r="C60" s="307">
        <f>ROUND((TPS_standby_hours_per_day*TPS_workdays_per_year)+(TPS_standby_hours_per_Holiday*(365-TPS_workdays_per_year)),0)</f>
        <v>3920</v>
      </c>
      <c r="D60" s="307">
        <f>ROUND((TMR_standby_hours_per_day*TMR_workdays_per_year)+(TMR_standby_hours_per_holiday*(365-TMR_workdays_per_year)),0)</f>
        <v>3920</v>
      </c>
      <c r="E60" s="307">
        <f>ROUND((VHD_standby_hours_per_day*VHD_workdays_per_year)+(VHD_standby_hours_per_holiday*(365-VHD_workdays_per_year)),0)</f>
        <v>3920</v>
      </c>
      <c r="F60" s="307">
        <f>ROUND((OSS_standby_hours_per_day*OSS_workdays_per_year)+(OSS_standby_hours_per_holiday*(365-OSS_workdays_per_year)),0)</f>
        <v>3920</v>
      </c>
      <c r="G60" s="307">
        <f>ROUND((BPC_standby_hours_per_day*BPC_workdays_per_year)+(BPC_standby_hours_per_holiday*(365-BPC_workdays_per_year)),0)</f>
        <v>3920</v>
      </c>
      <c r="H60" s="307">
        <f>ROUND((AS_standby_hours_per_day*AS_workdays_per_year)+(AS_standby_hours_per_holiday*(365-AS_workdays_per_year)),0)</f>
        <v>3920</v>
      </c>
      <c r="I60" s="30"/>
      <c r="J60" s="266" t="s">
        <v>232</v>
      </c>
    </row>
    <row r="61" spans="1:10" ht="15">
      <c r="A61" s="1"/>
      <c r="B61" s="70" t="s">
        <v>186</v>
      </c>
      <c r="C61" s="307">
        <f aca="true" t="shared" si="0" ref="C61:H61">ROUND((365*24)-C59-C60,0)</f>
        <v>2880</v>
      </c>
      <c r="D61" s="307">
        <f t="shared" si="0"/>
        <v>2880</v>
      </c>
      <c r="E61" s="307">
        <f t="shared" si="0"/>
        <v>2880</v>
      </c>
      <c r="F61" s="307">
        <f t="shared" si="0"/>
        <v>2880</v>
      </c>
      <c r="G61" s="307">
        <f t="shared" si="0"/>
        <v>2880</v>
      </c>
      <c r="H61" s="307">
        <f t="shared" si="0"/>
        <v>2880</v>
      </c>
      <c r="I61" s="30"/>
      <c r="J61" s="266" t="s">
        <v>233</v>
      </c>
    </row>
    <row r="62" spans="1:10" ht="15">
      <c r="A62" s="1"/>
      <c r="B62" s="70" t="s">
        <v>25</v>
      </c>
      <c r="C62" s="167">
        <v>15.1</v>
      </c>
      <c r="D62" s="167">
        <v>89.8</v>
      </c>
      <c r="E62" s="167">
        <v>15.1</v>
      </c>
      <c r="F62" s="167">
        <v>89.8</v>
      </c>
      <c r="G62" s="167">
        <v>15.1</v>
      </c>
      <c r="H62" s="167">
        <v>89.8</v>
      </c>
      <c r="I62" s="30"/>
      <c r="J62" s="266" t="s">
        <v>281</v>
      </c>
    </row>
    <row r="63" spans="1:10" ht="15" customHeight="1">
      <c r="A63" s="1"/>
      <c r="B63" s="105" t="s">
        <v>22</v>
      </c>
      <c r="C63" s="167">
        <v>0.3</v>
      </c>
      <c r="D63" s="167">
        <v>3.4</v>
      </c>
      <c r="E63" s="167">
        <v>0.3</v>
      </c>
      <c r="F63" s="167">
        <v>3.4</v>
      </c>
      <c r="G63" s="167">
        <v>0.3</v>
      </c>
      <c r="H63" s="167">
        <v>3.4</v>
      </c>
      <c r="I63" s="30"/>
      <c r="J63" s="266" t="s">
        <v>282</v>
      </c>
    </row>
    <row r="64" spans="1:10" ht="15">
      <c r="A64" s="1"/>
      <c r="B64" s="105" t="s">
        <v>19</v>
      </c>
      <c r="C64" s="167">
        <v>0</v>
      </c>
      <c r="D64" s="167">
        <v>0</v>
      </c>
      <c r="E64" s="167">
        <v>0</v>
      </c>
      <c r="F64" s="167">
        <v>0</v>
      </c>
      <c r="G64" s="167">
        <v>0</v>
      </c>
      <c r="H64" s="167">
        <v>0</v>
      </c>
      <c r="I64" s="30"/>
      <c r="J64" s="266" t="s">
        <v>283</v>
      </c>
    </row>
    <row r="65" spans="1:10" ht="15">
      <c r="A65" s="1"/>
      <c r="B65" s="150" t="s">
        <v>18</v>
      </c>
      <c r="C65" s="167">
        <v>28.1</v>
      </c>
      <c r="D65" s="167">
        <v>28.1</v>
      </c>
      <c r="E65" s="167">
        <v>28.1</v>
      </c>
      <c r="F65" s="167">
        <v>28.1</v>
      </c>
      <c r="G65" s="167">
        <v>28.1</v>
      </c>
      <c r="H65" s="167">
        <v>28.1</v>
      </c>
      <c r="I65" s="30"/>
      <c r="J65" s="266" t="s">
        <v>284</v>
      </c>
    </row>
    <row r="66" spans="1:10" ht="15">
      <c r="A66" s="1"/>
      <c r="B66" s="150" t="s">
        <v>17</v>
      </c>
      <c r="C66" s="167">
        <v>0.7</v>
      </c>
      <c r="D66" s="167">
        <v>0.7</v>
      </c>
      <c r="E66" s="167">
        <v>0.7</v>
      </c>
      <c r="F66" s="167">
        <v>0.7</v>
      </c>
      <c r="G66" s="167">
        <v>0.7</v>
      </c>
      <c r="H66" s="167">
        <v>0.7</v>
      </c>
      <c r="I66" s="30"/>
      <c r="J66" s="266" t="s">
        <v>285</v>
      </c>
    </row>
    <row r="67" spans="1:10" ht="15">
      <c r="A67" s="1"/>
      <c r="B67" s="150" t="s">
        <v>16</v>
      </c>
      <c r="C67" s="167">
        <v>0</v>
      </c>
      <c r="D67" s="167">
        <v>0</v>
      </c>
      <c r="E67" s="167">
        <v>0</v>
      </c>
      <c r="F67" s="167">
        <v>0</v>
      </c>
      <c r="G67" s="167">
        <v>0</v>
      </c>
      <c r="H67" s="167">
        <v>0</v>
      </c>
      <c r="I67" s="30"/>
      <c r="J67" s="266" t="s">
        <v>286</v>
      </c>
    </row>
    <row r="68" spans="1:10" ht="15">
      <c r="A68" s="1"/>
      <c r="B68" s="151" t="s">
        <v>188</v>
      </c>
      <c r="C68" s="190" t="s">
        <v>54</v>
      </c>
      <c r="D68" s="190" t="s">
        <v>54</v>
      </c>
      <c r="E68" s="190" t="s">
        <v>54</v>
      </c>
      <c r="F68" s="190" t="s">
        <v>54</v>
      </c>
      <c r="G68" s="173">
        <v>8</v>
      </c>
      <c r="H68" s="190" t="s">
        <v>54</v>
      </c>
      <c r="I68" s="30"/>
      <c r="J68" s="266" t="s">
        <v>248</v>
      </c>
    </row>
    <row r="69" spans="1:10" ht="15">
      <c r="A69" s="1"/>
      <c r="B69" s="151" t="s">
        <v>189</v>
      </c>
      <c r="C69" s="190" t="s">
        <v>54</v>
      </c>
      <c r="D69" s="190" t="s">
        <v>54</v>
      </c>
      <c r="E69" s="190" t="s">
        <v>54</v>
      </c>
      <c r="F69" s="190" t="s">
        <v>54</v>
      </c>
      <c r="G69" s="173">
        <v>16</v>
      </c>
      <c r="H69" s="190" t="s">
        <v>54</v>
      </c>
      <c r="I69" s="30"/>
      <c r="J69" s="266" t="s">
        <v>249</v>
      </c>
    </row>
    <row r="70" spans="1:10" ht="26.25">
      <c r="A70" s="1"/>
      <c r="B70" s="151" t="s">
        <v>190</v>
      </c>
      <c r="C70" s="190" t="s">
        <v>54</v>
      </c>
      <c r="D70" s="190" t="s">
        <v>54</v>
      </c>
      <c r="E70" s="190" t="s">
        <v>54</v>
      </c>
      <c r="F70" s="190" t="s">
        <v>54</v>
      </c>
      <c r="G70" s="173">
        <v>8</v>
      </c>
      <c r="H70" s="190" t="s">
        <v>54</v>
      </c>
      <c r="I70" s="30"/>
      <c r="J70" s="266" t="s">
        <v>250</v>
      </c>
    </row>
    <row r="71" spans="1:10" ht="15">
      <c r="A71" s="1"/>
      <c r="B71" s="151" t="s">
        <v>191</v>
      </c>
      <c r="C71" s="190" t="s">
        <v>54</v>
      </c>
      <c r="D71" s="190" t="s">
        <v>54</v>
      </c>
      <c r="E71" s="190" t="s">
        <v>54</v>
      </c>
      <c r="F71" s="190" t="s">
        <v>54</v>
      </c>
      <c r="G71" s="173">
        <v>16</v>
      </c>
      <c r="H71" s="190" t="s">
        <v>54</v>
      </c>
      <c r="I71" s="30"/>
      <c r="J71" s="266" t="s">
        <v>251</v>
      </c>
    </row>
    <row r="72" spans="1:10" ht="15">
      <c r="A72" s="1"/>
      <c r="B72" s="70" t="s">
        <v>192</v>
      </c>
      <c r="C72" s="190" t="s">
        <v>54</v>
      </c>
      <c r="D72" s="190" t="s">
        <v>54</v>
      </c>
      <c r="E72" s="190" t="s">
        <v>54</v>
      </c>
      <c r="F72" s="190" t="s">
        <v>54</v>
      </c>
      <c r="G72" s="307">
        <f>ROUND((BPC_Blade_On_Hours_Per_Day*BPC_workdays_per_year)+(BPC_Blade_On_Hours_Per_Holiday*(365-BPC_workdays_per_year)),0)</f>
        <v>2920</v>
      </c>
      <c r="H72" s="190" t="s">
        <v>54</v>
      </c>
      <c r="I72" s="30"/>
      <c r="J72" s="266" t="s">
        <v>252</v>
      </c>
    </row>
    <row r="73" spans="1:10" ht="15">
      <c r="A73" s="1"/>
      <c r="B73" s="70" t="s">
        <v>193</v>
      </c>
      <c r="C73" s="190" t="s">
        <v>54</v>
      </c>
      <c r="D73" s="190" t="s">
        <v>54</v>
      </c>
      <c r="E73" s="190" t="s">
        <v>54</v>
      </c>
      <c r="F73" s="190" t="s">
        <v>54</v>
      </c>
      <c r="G73" s="307">
        <f>ROUND((BPC_blade_standby_hours_per_day*BPC_workdays_per_year)+(BPC_blade_standby_hours_per_holiday*(365-BPC_workdays_per_year)),0)</f>
        <v>5840</v>
      </c>
      <c r="H73" s="190" t="s">
        <v>54</v>
      </c>
      <c r="I73" s="30"/>
      <c r="J73" s="266" t="s">
        <v>253</v>
      </c>
    </row>
    <row r="74" spans="1:10" ht="15">
      <c r="A74" s="1"/>
      <c r="B74" s="70" t="s">
        <v>194</v>
      </c>
      <c r="C74" s="190" t="s">
        <v>54</v>
      </c>
      <c r="D74" s="190" t="s">
        <v>54</v>
      </c>
      <c r="E74" s="190" t="s">
        <v>54</v>
      </c>
      <c r="F74" s="190" t="s">
        <v>54</v>
      </c>
      <c r="G74" s="307">
        <f>ROUND((365*24)-G72-G73,0)</f>
        <v>0</v>
      </c>
      <c r="H74" s="190" t="s">
        <v>54</v>
      </c>
      <c r="I74" s="30"/>
      <c r="J74" s="266" t="s">
        <v>254</v>
      </c>
    </row>
    <row r="75" spans="1:10" ht="15">
      <c r="A75" s="1"/>
      <c r="B75" s="70" t="s">
        <v>143</v>
      </c>
      <c r="C75" s="190" t="s">
        <v>54</v>
      </c>
      <c r="D75" s="190" t="s">
        <v>54</v>
      </c>
      <c r="E75" s="190" t="s">
        <v>54</v>
      </c>
      <c r="F75" s="190" t="s">
        <v>54</v>
      </c>
      <c r="G75" s="167">
        <v>32</v>
      </c>
      <c r="H75" s="190" t="s">
        <v>54</v>
      </c>
      <c r="I75" s="30"/>
      <c r="J75" s="266" t="s">
        <v>287</v>
      </c>
    </row>
    <row r="76" spans="1:10" ht="15" customHeight="1">
      <c r="A76" s="1"/>
      <c r="B76" s="105" t="s">
        <v>142</v>
      </c>
      <c r="C76" s="190" t="s">
        <v>54</v>
      </c>
      <c r="D76" s="190" t="s">
        <v>54</v>
      </c>
      <c r="E76" s="190" t="s">
        <v>54</v>
      </c>
      <c r="F76" s="190" t="s">
        <v>54</v>
      </c>
      <c r="G76" s="167">
        <v>29.98</v>
      </c>
      <c r="H76" s="190" t="s">
        <v>54</v>
      </c>
      <c r="I76" s="30"/>
      <c r="J76" s="266" t="s">
        <v>288</v>
      </c>
    </row>
    <row r="77" spans="1:10" ht="15">
      <c r="A77" s="1"/>
      <c r="B77" s="105" t="s">
        <v>141</v>
      </c>
      <c r="C77" s="190" t="s">
        <v>54</v>
      </c>
      <c r="D77" s="190" t="s">
        <v>54</v>
      </c>
      <c r="E77" s="190" t="s">
        <v>54</v>
      </c>
      <c r="F77" s="190" t="s">
        <v>54</v>
      </c>
      <c r="G77" s="167">
        <v>0</v>
      </c>
      <c r="H77" s="190" t="s">
        <v>54</v>
      </c>
      <c r="I77" s="30"/>
      <c r="J77" s="266" t="s">
        <v>289</v>
      </c>
    </row>
    <row r="78" spans="1:10" ht="15">
      <c r="A78" s="1"/>
      <c r="B78" s="150" t="s">
        <v>334</v>
      </c>
      <c r="C78" s="312">
        <v>446</v>
      </c>
      <c r="D78" s="312">
        <v>446</v>
      </c>
      <c r="E78" s="312">
        <v>446</v>
      </c>
      <c r="F78" s="312">
        <v>446</v>
      </c>
      <c r="G78" s="312">
        <v>446</v>
      </c>
      <c r="H78" s="312">
        <v>446</v>
      </c>
      <c r="I78" s="30"/>
      <c r="J78" s="266" t="s">
        <v>338</v>
      </c>
    </row>
    <row r="79" spans="1:10" ht="15">
      <c r="A79" s="1"/>
      <c r="B79" s="150" t="s">
        <v>337</v>
      </c>
      <c r="C79" s="312">
        <v>389</v>
      </c>
      <c r="D79" s="312">
        <v>389</v>
      </c>
      <c r="E79" s="312">
        <v>389</v>
      </c>
      <c r="F79" s="312">
        <v>389</v>
      </c>
      <c r="G79" s="312">
        <v>389</v>
      </c>
      <c r="H79" s="312">
        <v>389</v>
      </c>
      <c r="I79" s="30"/>
      <c r="J79" s="266" t="s">
        <v>339</v>
      </c>
    </row>
    <row r="80" spans="1:10" ht="15">
      <c r="A80" s="1"/>
      <c r="B80" s="150" t="s">
        <v>335</v>
      </c>
      <c r="C80" s="313">
        <v>0.333</v>
      </c>
      <c r="D80" s="313">
        <v>0.333</v>
      </c>
      <c r="E80" s="313">
        <v>0.333</v>
      </c>
      <c r="F80" s="313">
        <v>0.333</v>
      </c>
      <c r="G80" s="313">
        <v>0.333</v>
      </c>
      <c r="H80" s="313">
        <v>0.333</v>
      </c>
      <c r="I80" s="30"/>
      <c r="J80" s="266" t="s">
        <v>340</v>
      </c>
    </row>
    <row r="81" spans="1:10" ht="15">
      <c r="A81" s="1"/>
      <c r="B81" s="150" t="s">
        <v>336</v>
      </c>
      <c r="C81" s="307">
        <f aca="true" t="shared" si="1" ref="C81:H81">ROUND(C79+((C78-C79)*C80),0)</f>
        <v>408</v>
      </c>
      <c r="D81" s="307">
        <f t="shared" si="1"/>
        <v>408</v>
      </c>
      <c r="E81" s="307">
        <f t="shared" si="1"/>
        <v>408</v>
      </c>
      <c r="F81" s="307">
        <f t="shared" si="1"/>
        <v>408</v>
      </c>
      <c r="G81" s="307">
        <f t="shared" si="1"/>
        <v>408</v>
      </c>
      <c r="H81" s="307">
        <f t="shared" si="1"/>
        <v>408</v>
      </c>
      <c r="I81" s="30"/>
      <c r="J81" s="266" t="s">
        <v>341</v>
      </c>
    </row>
    <row r="82" spans="1:10" ht="25.5">
      <c r="A82" s="1"/>
      <c r="B82" s="152" t="s">
        <v>15</v>
      </c>
      <c r="C82" s="174">
        <v>1</v>
      </c>
      <c r="D82" s="174">
        <v>1</v>
      </c>
      <c r="E82" s="174">
        <v>1</v>
      </c>
      <c r="F82" s="174">
        <v>1</v>
      </c>
      <c r="G82" s="174">
        <v>1</v>
      </c>
      <c r="H82" s="174">
        <v>1</v>
      </c>
      <c r="I82" s="30"/>
      <c r="J82" s="265" t="s">
        <v>290</v>
      </c>
    </row>
    <row r="83" spans="1:10" ht="15">
      <c r="A83" s="1"/>
      <c r="B83" s="152" t="s">
        <v>371</v>
      </c>
      <c r="C83" s="311">
        <v>0.08</v>
      </c>
      <c r="D83" s="311">
        <v>0.08</v>
      </c>
      <c r="E83" s="311">
        <v>0.08</v>
      </c>
      <c r="F83" s="311">
        <v>0.08</v>
      </c>
      <c r="G83" s="311">
        <v>0.08</v>
      </c>
      <c r="H83" s="311">
        <v>0.08</v>
      </c>
      <c r="I83" s="30"/>
      <c r="J83" s="266" t="s">
        <v>372</v>
      </c>
    </row>
    <row r="84" spans="1:10" ht="12" customHeight="1">
      <c r="A84" s="1"/>
      <c r="B84" s="162"/>
      <c r="C84" s="220"/>
      <c r="D84" s="220"/>
      <c r="E84" s="220"/>
      <c r="F84" s="220"/>
      <c r="G84" s="220"/>
      <c r="H84" s="220"/>
      <c r="I84" s="30"/>
      <c r="J84" s="257"/>
    </row>
    <row r="85" spans="1:255" s="237" customFormat="1" ht="45">
      <c r="A85" s="1"/>
      <c r="B85" s="238"/>
      <c r="C85" s="10" t="s">
        <v>204</v>
      </c>
      <c r="D85" s="10" t="s">
        <v>153</v>
      </c>
      <c r="E85" s="10" t="s">
        <v>140</v>
      </c>
      <c r="F85" s="10" t="s">
        <v>208</v>
      </c>
      <c r="G85" s="10" t="s">
        <v>150</v>
      </c>
      <c r="H85" s="10" t="s">
        <v>209</v>
      </c>
      <c r="I85" s="30"/>
      <c r="J85" s="257"/>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row>
    <row r="86" spans="1:10" ht="15">
      <c r="A86" s="1"/>
      <c r="B86" s="153" t="s">
        <v>13</v>
      </c>
      <c r="C86" s="187"/>
      <c r="D86" s="188"/>
      <c r="E86" s="188"/>
      <c r="F86" s="188"/>
      <c r="G86" s="189"/>
      <c r="H86" s="188"/>
      <c r="I86" s="30"/>
      <c r="J86" s="257"/>
    </row>
    <row r="87" spans="1:10" ht="15">
      <c r="A87" s="1"/>
      <c r="B87" s="105" t="s">
        <v>168</v>
      </c>
      <c r="C87" s="176">
        <v>12</v>
      </c>
      <c r="D87" s="176">
        <v>12</v>
      </c>
      <c r="E87" s="176">
        <v>12</v>
      </c>
      <c r="F87" s="176">
        <v>12</v>
      </c>
      <c r="G87" s="176">
        <v>12</v>
      </c>
      <c r="H87" s="176">
        <v>12</v>
      </c>
      <c r="I87" s="30"/>
      <c r="J87" s="266" t="s">
        <v>291</v>
      </c>
    </row>
    <row r="88" spans="1:10" ht="15">
      <c r="A88" s="1"/>
      <c r="B88" s="70" t="s">
        <v>12</v>
      </c>
      <c r="C88" s="177">
        <v>0.98</v>
      </c>
      <c r="D88" s="177">
        <v>0.84</v>
      </c>
      <c r="E88" s="177">
        <v>0.98</v>
      </c>
      <c r="F88" s="177">
        <v>0.98</v>
      </c>
      <c r="G88" s="177">
        <v>0.98</v>
      </c>
      <c r="H88" s="177">
        <v>0.98</v>
      </c>
      <c r="I88" s="30"/>
      <c r="J88" s="266" t="s">
        <v>234</v>
      </c>
    </row>
    <row r="89" spans="1:10" ht="15">
      <c r="A89" s="1"/>
      <c r="B89" s="105" t="s">
        <v>11</v>
      </c>
      <c r="C89" s="178">
        <v>0.02</v>
      </c>
      <c r="D89" s="178">
        <v>0.02</v>
      </c>
      <c r="E89" s="178">
        <v>0.02</v>
      </c>
      <c r="F89" s="178">
        <v>0.02</v>
      </c>
      <c r="G89" s="178">
        <v>0.02</v>
      </c>
      <c r="H89" s="178">
        <v>0.02</v>
      </c>
      <c r="I89" s="30"/>
      <c r="J89" s="266" t="s">
        <v>235</v>
      </c>
    </row>
    <row r="90" spans="1:10" ht="15">
      <c r="A90" s="1"/>
      <c r="B90" s="163" t="s">
        <v>10</v>
      </c>
      <c r="C90" s="179">
        <v>0.33</v>
      </c>
      <c r="D90" s="179">
        <v>0.33</v>
      </c>
      <c r="E90" s="179">
        <v>0.33</v>
      </c>
      <c r="F90" s="179">
        <v>0.33</v>
      </c>
      <c r="G90" s="179">
        <v>0.33</v>
      </c>
      <c r="H90" s="179">
        <v>0.33</v>
      </c>
      <c r="I90" s="30"/>
      <c r="J90" s="266" t="s">
        <v>236</v>
      </c>
    </row>
    <row r="91" spans="1:10" ht="26.25">
      <c r="A91" s="1"/>
      <c r="B91" s="105" t="s">
        <v>169</v>
      </c>
      <c r="C91" s="176">
        <v>12</v>
      </c>
      <c r="D91" s="176">
        <v>12</v>
      </c>
      <c r="E91" s="176">
        <v>12</v>
      </c>
      <c r="F91" s="176">
        <v>12</v>
      </c>
      <c r="G91" s="176">
        <v>12</v>
      </c>
      <c r="H91" s="176">
        <v>12</v>
      </c>
      <c r="J91" s="266" t="s">
        <v>268</v>
      </c>
    </row>
    <row r="92" spans="1:10" ht="26.25">
      <c r="A92" s="1"/>
      <c r="B92" s="70" t="s">
        <v>170</v>
      </c>
      <c r="C92" s="180">
        <v>2</v>
      </c>
      <c r="D92" s="180">
        <v>2</v>
      </c>
      <c r="E92" s="180">
        <v>2</v>
      </c>
      <c r="F92" s="180">
        <v>2</v>
      </c>
      <c r="G92" s="180">
        <v>2</v>
      </c>
      <c r="H92" s="180">
        <v>2</v>
      </c>
      <c r="J92" s="266" t="s">
        <v>292</v>
      </c>
    </row>
    <row r="93" spans="1:10" ht="26.25">
      <c r="A93" s="1"/>
      <c r="B93" s="70" t="s">
        <v>202</v>
      </c>
      <c r="C93" s="181">
        <v>58</v>
      </c>
      <c r="D93" s="181">
        <v>58</v>
      </c>
      <c r="E93" s="181">
        <v>58</v>
      </c>
      <c r="F93" s="181">
        <v>58</v>
      </c>
      <c r="G93" s="181">
        <v>58</v>
      </c>
      <c r="H93" s="181">
        <v>58</v>
      </c>
      <c r="I93" s="1"/>
      <c r="J93" s="266" t="s">
        <v>293</v>
      </c>
    </row>
    <row r="94" spans="1:10" ht="26.25">
      <c r="A94" s="1"/>
      <c r="B94" s="70" t="s">
        <v>306</v>
      </c>
      <c r="C94" s="181">
        <v>2.78</v>
      </c>
      <c r="D94" s="181">
        <v>2.78</v>
      </c>
      <c r="E94" s="181">
        <v>2.78</v>
      </c>
      <c r="F94" s="181">
        <v>2.78</v>
      </c>
      <c r="G94" s="181">
        <v>2.78</v>
      </c>
      <c r="H94" s="181">
        <v>2.78</v>
      </c>
      <c r="I94" s="1"/>
      <c r="J94" s="266" t="s">
        <v>294</v>
      </c>
    </row>
    <row r="95" spans="1:10" ht="15">
      <c r="A95" s="1"/>
      <c r="B95" s="164" t="s">
        <v>166</v>
      </c>
      <c r="C95" s="182">
        <v>0.98</v>
      </c>
      <c r="D95" s="182">
        <v>0.925</v>
      </c>
      <c r="E95" s="182">
        <v>0.98</v>
      </c>
      <c r="F95" s="182">
        <v>0.98</v>
      </c>
      <c r="G95" s="182">
        <v>0.98</v>
      </c>
      <c r="H95" s="182">
        <v>0.98</v>
      </c>
      <c r="I95" s="1"/>
      <c r="J95" s="266" t="s">
        <v>237</v>
      </c>
    </row>
    <row r="96" spans="1:10" ht="26.25">
      <c r="A96" s="1"/>
      <c r="B96" s="164" t="s">
        <v>9</v>
      </c>
      <c r="C96" s="181">
        <v>0.69</v>
      </c>
      <c r="D96" s="181">
        <v>0.69</v>
      </c>
      <c r="E96" s="181">
        <v>0.69</v>
      </c>
      <c r="F96" s="181">
        <v>0.69</v>
      </c>
      <c r="G96" s="181">
        <v>0.69</v>
      </c>
      <c r="H96" s="181">
        <v>0.69</v>
      </c>
      <c r="I96" s="1"/>
      <c r="J96" s="266" t="s">
        <v>295</v>
      </c>
    </row>
    <row r="97" spans="1:10" ht="15">
      <c r="A97" s="1"/>
      <c r="B97" s="159" t="s">
        <v>8</v>
      </c>
      <c r="C97" s="221">
        <v>5</v>
      </c>
      <c r="D97" s="221">
        <v>5</v>
      </c>
      <c r="E97" s="221">
        <v>5</v>
      </c>
      <c r="F97" s="221">
        <v>5</v>
      </c>
      <c r="G97" s="221">
        <v>5</v>
      </c>
      <c r="H97" s="221">
        <v>5</v>
      </c>
      <c r="I97" s="1"/>
      <c r="J97" s="266" t="s">
        <v>255</v>
      </c>
    </row>
    <row r="98" spans="1:10" ht="15">
      <c r="A98" s="1"/>
      <c r="B98" s="158" t="s">
        <v>7</v>
      </c>
      <c r="C98" s="223">
        <v>34</v>
      </c>
      <c r="D98" s="223">
        <v>90</v>
      </c>
      <c r="E98" s="223">
        <v>34</v>
      </c>
      <c r="F98" s="223">
        <v>45</v>
      </c>
      <c r="G98" s="223">
        <v>34</v>
      </c>
      <c r="H98" s="223">
        <v>53</v>
      </c>
      <c r="I98" s="1"/>
      <c r="J98" s="266" t="s">
        <v>296</v>
      </c>
    </row>
    <row r="99" spans="1:10" ht="15">
      <c r="A99" s="1"/>
      <c r="B99" s="154" t="s">
        <v>167</v>
      </c>
      <c r="C99" s="183">
        <v>0.05</v>
      </c>
      <c r="D99" s="183">
        <v>0.05</v>
      </c>
      <c r="E99" s="183">
        <v>0.05</v>
      </c>
      <c r="F99" s="183">
        <v>0.05</v>
      </c>
      <c r="G99" s="183">
        <v>0.05</v>
      </c>
      <c r="H99" s="183">
        <v>0.05</v>
      </c>
      <c r="I99" s="30"/>
      <c r="J99" s="266" t="s">
        <v>238</v>
      </c>
    </row>
    <row r="100" spans="1:10" ht="15">
      <c r="A100" s="1"/>
      <c r="B100" s="105" t="s">
        <v>239</v>
      </c>
      <c r="C100" s="186">
        <f>ROUND((TPS_num_clients/TPS_upgrade_cycle)/TPS_num_clients,2)</f>
        <v>0.25</v>
      </c>
      <c r="D100" s="184">
        <f>ROUND((TMR_num_clients/TMR_upgrade_cycle)/TMR_num_clients,2)</f>
        <v>0.25</v>
      </c>
      <c r="E100" s="184">
        <f>ROUND((VHD_num_clients/VHD_upgrade_cycle)/VHD_num_clients,2)</f>
        <v>0.25</v>
      </c>
      <c r="F100" s="184">
        <f>ROUND((OSS_num_clients/OSS_upgrade_cycle)/OSS_num_clients,2)</f>
        <v>0.25</v>
      </c>
      <c r="G100" s="184">
        <f>ROUND((BPC_num_clients/BPC_upgrade_cycle)/BPC_num_clients,2)</f>
        <v>0.25</v>
      </c>
      <c r="H100" s="184">
        <f>ROUND((AS_num_clients/AS_upgrade_cycle)/AS_num_clients,2)</f>
        <v>0.25</v>
      </c>
      <c r="I100" s="30"/>
      <c r="J100" s="266" t="s">
        <v>297</v>
      </c>
    </row>
    <row r="101" spans="1:10" ht="15">
      <c r="A101" s="1"/>
      <c r="B101" s="105" t="s">
        <v>240</v>
      </c>
      <c r="C101" s="186">
        <f>ROUND((TPS_num_clients/TPS_upgrade_cycle)/TPS_num_clients,2)</f>
        <v>0.25</v>
      </c>
      <c r="D101" s="184">
        <f>ROUND((TMR_num_clients/TMR_upgrade_cycle)/TMR_num_clients,2)</f>
        <v>0.25</v>
      </c>
      <c r="E101" s="184">
        <f>ROUND((VHD_num_clients/VHD_upgrade_cycle)/VHD_num_clients,2)</f>
        <v>0.25</v>
      </c>
      <c r="F101" s="184">
        <f>ROUND((OSS_num_clients/OSS_upgrade_cycle)/OSS_num_clients,2)</f>
        <v>0.25</v>
      </c>
      <c r="G101" s="184">
        <f>ROUND((BPC_num_clients/BPC_upgrade_cycle)/BPC_num_clients,2)</f>
        <v>0.25</v>
      </c>
      <c r="H101" s="184">
        <f>ROUND((AS_num_clients/AS_upgrade_cycle)/AS_num_clients,2)</f>
        <v>0.25</v>
      </c>
      <c r="I101" s="30"/>
      <c r="J101" s="266" t="s">
        <v>297</v>
      </c>
    </row>
    <row r="102" spans="1:10" ht="15">
      <c r="A102" s="1"/>
      <c r="B102" s="224" t="s">
        <v>6</v>
      </c>
      <c r="C102" s="222">
        <v>105</v>
      </c>
      <c r="D102" s="222">
        <v>160</v>
      </c>
      <c r="E102" s="222">
        <v>105</v>
      </c>
      <c r="F102" s="222">
        <v>110</v>
      </c>
      <c r="G102" s="222">
        <v>105</v>
      </c>
      <c r="H102" s="222">
        <v>135</v>
      </c>
      <c r="I102" s="30"/>
      <c r="J102" s="266" t="s">
        <v>298</v>
      </c>
    </row>
    <row r="103" spans="1:10" ht="15">
      <c r="A103" s="1"/>
      <c r="B103" s="225" t="s">
        <v>5</v>
      </c>
      <c r="C103" s="222">
        <v>105</v>
      </c>
      <c r="D103" s="222">
        <v>160</v>
      </c>
      <c r="E103" s="222">
        <v>105</v>
      </c>
      <c r="F103" s="222">
        <v>110</v>
      </c>
      <c r="G103" s="222">
        <v>105</v>
      </c>
      <c r="H103" s="222">
        <v>135</v>
      </c>
      <c r="I103" s="30"/>
      <c r="J103" s="266" t="s">
        <v>299</v>
      </c>
    </row>
    <row r="104" spans="1:10" ht="15">
      <c r="A104" s="1"/>
      <c r="B104" s="225" t="s">
        <v>4</v>
      </c>
      <c r="C104" s="222">
        <v>55</v>
      </c>
      <c r="D104" s="222">
        <v>75</v>
      </c>
      <c r="E104" s="222">
        <v>55</v>
      </c>
      <c r="F104" s="222">
        <v>60</v>
      </c>
      <c r="G104" s="222">
        <v>55</v>
      </c>
      <c r="H104" s="222">
        <v>60</v>
      </c>
      <c r="I104" s="30"/>
      <c r="J104" s="266" t="s">
        <v>256</v>
      </c>
    </row>
    <row r="105" spans="1:10" ht="15" customHeight="1">
      <c r="A105" s="1"/>
      <c r="B105" s="226" t="s">
        <v>171</v>
      </c>
      <c r="C105" s="223">
        <v>0.24</v>
      </c>
      <c r="D105" s="223">
        <v>0.75</v>
      </c>
      <c r="E105" s="223">
        <v>0.24</v>
      </c>
      <c r="F105" s="223">
        <v>0.28</v>
      </c>
      <c r="G105" s="223">
        <v>0.24</v>
      </c>
      <c r="H105" s="223">
        <v>0.28</v>
      </c>
      <c r="I105" s="30"/>
      <c r="J105" s="266" t="s">
        <v>241</v>
      </c>
    </row>
    <row r="106" spans="1:10" ht="39">
      <c r="A106" s="1"/>
      <c r="B106" s="226" t="s">
        <v>172</v>
      </c>
      <c r="C106" s="223">
        <v>0.16</v>
      </c>
      <c r="D106" s="223">
        <v>0.41</v>
      </c>
      <c r="E106" s="223">
        <v>0.16</v>
      </c>
      <c r="F106" s="223">
        <v>0.17</v>
      </c>
      <c r="G106" s="223">
        <v>0.16</v>
      </c>
      <c r="H106" s="223">
        <v>0.17</v>
      </c>
      <c r="I106" s="30"/>
      <c r="J106" s="266" t="s">
        <v>242</v>
      </c>
    </row>
    <row r="107" spans="1:10" ht="15">
      <c r="A107" s="1"/>
      <c r="B107" s="70" t="s">
        <v>3</v>
      </c>
      <c r="C107" s="181">
        <v>40</v>
      </c>
      <c r="D107" s="181">
        <v>40</v>
      </c>
      <c r="E107" s="181">
        <v>40</v>
      </c>
      <c r="F107" s="181">
        <v>40</v>
      </c>
      <c r="G107" s="181">
        <v>40</v>
      </c>
      <c r="H107" s="181">
        <v>40</v>
      </c>
      <c r="I107" s="30"/>
      <c r="J107" s="266" t="s">
        <v>257</v>
      </c>
    </row>
    <row r="108" spans="1:10" ht="15">
      <c r="A108" s="1"/>
      <c r="B108" s="105" t="s">
        <v>173</v>
      </c>
      <c r="C108" s="310">
        <f>ROUND(TPS_average_IT_hourly_wage*TPS_workdays_per_year*8/TPS_max_servers_per_FTE,0)</f>
        <v>3100</v>
      </c>
      <c r="D108" s="310">
        <f>ROUND(TMR_average_IT_hourly_wage*TMR_workdays_per_year*8/TMR_max_servers_per_FTE,0)</f>
        <v>3100</v>
      </c>
      <c r="E108" s="310">
        <f>ROUND(VHD_average_IT_hourly_wage*VHD_workdays_per_year*8/VHD_max_servers_per_FTE,0)</f>
        <v>3100</v>
      </c>
      <c r="F108" s="310">
        <f>ROUND(OSS_average_IT_hourly_wage*OSS_workdays_per_year*8/OSS_max_servers_per_FTE,0)</f>
        <v>3100</v>
      </c>
      <c r="G108" s="310">
        <f>ROUND(BPC_average_IT_hourly_wage*BPC_workdays_per_year*8/BPC_max_servers_per_FTE,0)</f>
        <v>3100</v>
      </c>
      <c r="H108" s="310">
        <f>ROUND(AS_average_IT_hourly_wage*AS_workdays_per_year*8/AS_max_servers_per_FTE,0)</f>
        <v>3100</v>
      </c>
      <c r="I108" s="30"/>
      <c r="J108" s="266" t="s">
        <v>243</v>
      </c>
    </row>
    <row r="109" spans="1:10" ht="15" customHeight="1">
      <c r="A109" s="1"/>
      <c r="B109" s="105" t="s">
        <v>164</v>
      </c>
      <c r="C109" s="175">
        <v>0</v>
      </c>
      <c r="D109" s="175">
        <v>0</v>
      </c>
      <c r="E109" s="175">
        <v>0</v>
      </c>
      <c r="F109" s="175">
        <v>0</v>
      </c>
      <c r="G109" s="175">
        <v>0</v>
      </c>
      <c r="H109" s="175">
        <v>0</v>
      </c>
      <c r="I109" s="30"/>
      <c r="J109" s="266" t="s">
        <v>300</v>
      </c>
    </row>
    <row r="110" spans="1:10" ht="15">
      <c r="A110" s="1"/>
      <c r="B110" s="161"/>
      <c r="C110" s="119"/>
      <c r="D110" s="119"/>
      <c r="E110" s="119"/>
      <c r="F110" s="119"/>
      <c r="G110" s="119"/>
      <c r="H110" s="119"/>
      <c r="I110" s="30"/>
      <c r="J110" s="257"/>
    </row>
    <row r="111" spans="1:10" s="102" customFormat="1" ht="45">
      <c r="A111" s="1"/>
      <c r="B111" s="238"/>
      <c r="C111" s="10" t="s">
        <v>204</v>
      </c>
      <c r="D111" s="10" t="s">
        <v>153</v>
      </c>
      <c r="E111" s="10" t="s">
        <v>140</v>
      </c>
      <c r="F111" s="10" t="s">
        <v>208</v>
      </c>
      <c r="G111" s="10" t="s">
        <v>150</v>
      </c>
      <c r="H111" s="10" t="s">
        <v>209</v>
      </c>
      <c r="J111" s="260"/>
    </row>
    <row r="112" spans="1:10" ht="15">
      <c r="A112" s="1"/>
      <c r="B112" s="153" t="s">
        <v>2</v>
      </c>
      <c r="C112" s="187"/>
      <c r="D112" s="188"/>
      <c r="E112" s="188"/>
      <c r="F112" s="188"/>
      <c r="G112" s="189"/>
      <c r="H112" s="188"/>
      <c r="I112" s="30"/>
      <c r="J112" s="257"/>
    </row>
    <row r="113" spans="1:10" ht="15" customHeight="1">
      <c r="A113" s="1"/>
      <c r="B113" s="105" t="s">
        <v>1</v>
      </c>
      <c r="C113" s="181">
        <v>0</v>
      </c>
      <c r="D113" s="181">
        <v>0</v>
      </c>
      <c r="E113" s="181">
        <v>0</v>
      </c>
      <c r="F113" s="181">
        <v>0</v>
      </c>
      <c r="G113" s="181">
        <v>0</v>
      </c>
      <c r="H113" s="181">
        <v>0</v>
      </c>
      <c r="I113" s="30"/>
      <c r="J113" s="266" t="s">
        <v>269</v>
      </c>
    </row>
    <row r="114" spans="1:10" ht="26.25">
      <c r="A114" s="1"/>
      <c r="B114" s="105" t="s">
        <v>0</v>
      </c>
      <c r="C114" s="181">
        <v>0</v>
      </c>
      <c r="D114" s="181">
        <v>0</v>
      </c>
      <c r="E114" s="181">
        <v>0</v>
      </c>
      <c r="F114" s="181">
        <v>0</v>
      </c>
      <c r="G114" s="181">
        <v>0</v>
      </c>
      <c r="H114" s="181">
        <v>0</v>
      </c>
      <c r="I114" s="30"/>
      <c r="J114" s="266" t="s">
        <v>258</v>
      </c>
    </row>
    <row r="115" spans="1:10" ht="15" customHeight="1">
      <c r="A115" s="1"/>
      <c r="B115" s="105" t="s">
        <v>126</v>
      </c>
      <c r="C115" s="140">
        <f>TPS_MinutesServerCongestion</f>
        <v>3.25</v>
      </c>
      <c r="D115" s="140">
        <f>TMR_MinutesServerCongestion</f>
        <v>0</v>
      </c>
      <c r="E115" s="140">
        <f>VHD_MinutesServerCongestion</f>
        <v>3.5</v>
      </c>
      <c r="F115" s="140">
        <f>OSS_MinutesServerCongestion</f>
        <v>0.75</v>
      </c>
      <c r="G115" s="195" t="s">
        <v>54</v>
      </c>
      <c r="H115" s="140">
        <f>AS_MinutesServerCongestion</f>
        <v>0</v>
      </c>
      <c r="I115" s="4"/>
      <c r="J115" s="266" t="s">
        <v>301</v>
      </c>
    </row>
    <row r="116" spans="1:10" ht="26.25">
      <c r="A116" s="1"/>
      <c r="B116" s="105" t="s">
        <v>174</v>
      </c>
      <c r="C116" s="181">
        <v>0</v>
      </c>
      <c r="D116" s="181">
        <v>0</v>
      </c>
      <c r="E116" s="181">
        <v>0</v>
      </c>
      <c r="F116" s="181">
        <v>0</v>
      </c>
      <c r="G116" s="181">
        <v>0</v>
      </c>
      <c r="H116" s="181">
        <v>0</v>
      </c>
      <c r="J116" s="266" t="s">
        <v>302</v>
      </c>
    </row>
    <row r="117" spans="1:10" ht="15" customHeight="1">
      <c r="A117" s="1"/>
      <c r="B117" s="105" t="s">
        <v>175</v>
      </c>
      <c r="C117" s="181">
        <v>0</v>
      </c>
      <c r="D117" s="181">
        <v>0</v>
      </c>
      <c r="E117" s="181">
        <v>0</v>
      </c>
      <c r="F117" s="181">
        <v>0</v>
      </c>
      <c r="G117" s="196">
        <f>ROUND(BPC_MinutesServerCongestion/10,2)</f>
        <v>0.77</v>
      </c>
      <c r="H117" s="181">
        <v>0</v>
      </c>
      <c r="J117" s="266" t="s">
        <v>303</v>
      </c>
    </row>
    <row r="118" spans="1:10" ht="15" customHeight="1">
      <c r="A118" s="1"/>
      <c r="B118" s="105" t="s">
        <v>176</v>
      </c>
      <c r="C118" s="180">
        <v>0</v>
      </c>
      <c r="D118" s="180">
        <v>0</v>
      </c>
      <c r="E118" s="180">
        <v>0</v>
      </c>
      <c r="F118" s="180">
        <v>0</v>
      </c>
      <c r="G118" s="180">
        <v>10</v>
      </c>
      <c r="H118" s="180">
        <v>0</v>
      </c>
      <c r="J118" s="266" t="s">
        <v>304</v>
      </c>
    </row>
    <row r="120" spans="3:9" ht="15">
      <c r="C120" s="245"/>
      <c r="D120" s="245"/>
      <c r="E120" s="245"/>
      <c r="F120" s="245"/>
      <c r="G120" s="245"/>
      <c r="H120" s="245"/>
      <c r="I120" s="30"/>
    </row>
    <row r="122" ht="15">
      <c r="I122" s="30"/>
    </row>
    <row r="123" ht="15">
      <c r="I123" s="30"/>
    </row>
    <row r="124" ht="15">
      <c r="I124" s="30"/>
    </row>
    <row r="125" ht="15">
      <c r="I125" s="30"/>
    </row>
  </sheetData>
  <sheetProtection sheet="1" objects="1" scenarios="1"/>
  <mergeCells count="1">
    <mergeCell ref="B1:C1"/>
  </mergeCells>
  <printOptions/>
  <pageMargins left="0.7" right="0.7" top="0.75" bottom="0.75" header="0.3" footer="0.3"/>
  <pageSetup fitToHeight="0" fitToWidth="1" horizontalDpi="600" verticalDpi="600" orientation="landscape" scale="79" r:id="rId2"/>
  <drawing r:id="rId1"/>
</worksheet>
</file>

<file path=xl/worksheets/sheet8.xml><?xml version="1.0" encoding="utf-8"?>
<worksheet xmlns="http://schemas.openxmlformats.org/spreadsheetml/2006/main" xmlns:r="http://schemas.openxmlformats.org/officeDocument/2006/relationships">
  <sheetPr codeName="Sheet7"/>
  <dimension ref="A1:IU126"/>
  <sheetViews>
    <sheetView zoomScalePageLayoutView="0" workbookViewId="0" topLeftCell="A118">
      <selection activeCell="C128" sqref="C128"/>
    </sheetView>
  </sheetViews>
  <sheetFormatPr defaultColWidth="9.140625" defaultRowHeight="15"/>
  <cols>
    <col min="1" max="1" width="2.421875" style="3" customWidth="1"/>
    <col min="2" max="2" width="56.140625" style="8" customWidth="1"/>
    <col min="3" max="8" width="15.7109375" style="1" customWidth="1"/>
    <col min="9" max="9" width="9.140625" style="148" customWidth="1"/>
    <col min="10" max="10" width="9.28125" style="258" customWidth="1"/>
    <col min="11" max="12" width="9.28125" style="3" customWidth="1"/>
    <col min="13" max="17" width="13.00390625" style="3" customWidth="1"/>
    <col min="18" max="16384" width="9.140625" style="3" customWidth="1"/>
  </cols>
  <sheetData>
    <row r="1" spans="1:8" ht="124.5" customHeight="1">
      <c r="A1" s="1"/>
      <c r="B1" s="351"/>
      <c r="C1" s="351"/>
      <c r="D1" s="48"/>
      <c r="E1" s="48"/>
      <c r="F1" s="2"/>
      <c r="G1" s="47"/>
      <c r="H1" s="47"/>
    </row>
    <row r="2" spans="2:10" s="100" customFormat="1" ht="35.25" customHeight="1">
      <c r="B2" s="255" t="s">
        <v>154</v>
      </c>
      <c r="C2" s="10"/>
      <c r="D2" s="149"/>
      <c r="E2" s="10"/>
      <c r="F2" s="10"/>
      <c r="G2" s="10"/>
      <c r="H2" s="11"/>
      <c r="I2" s="102"/>
      <c r="J2" s="259"/>
    </row>
    <row r="3" spans="2:10" s="100" customFormat="1" ht="45">
      <c r="B3" s="256"/>
      <c r="C3" s="10" t="s">
        <v>204</v>
      </c>
      <c r="D3" s="10" t="s">
        <v>265</v>
      </c>
      <c r="E3" s="10" t="s">
        <v>140</v>
      </c>
      <c r="F3" s="10" t="s">
        <v>208</v>
      </c>
      <c r="G3" s="10" t="s">
        <v>150</v>
      </c>
      <c r="H3" s="10" t="s">
        <v>209</v>
      </c>
      <c r="I3" s="102"/>
      <c r="J3" s="264"/>
    </row>
    <row r="4" spans="1:10" ht="15" customHeight="1">
      <c r="A4" s="1"/>
      <c r="B4" s="105" t="s">
        <v>133</v>
      </c>
      <c r="C4" s="166">
        <v>0.95</v>
      </c>
      <c r="D4" s="166">
        <v>1</v>
      </c>
      <c r="E4" s="166">
        <v>0.95</v>
      </c>
      <c r="F4" s="166">
        <v>1</v>
      </c>
      <c r="G4" s="166">
        <v>0.95</v>
      </c>
      <c r="H4" s="166">
        <v>0.95</v>
      </c>
      <c r="I4" s="30"/>
      <c r="J4" s="265"/>
    </row>
    <row r="5" spans="1:10" ht="15">
      <c r="A5" s="1"/>
      <c r="B5" s="105" t="s">
        <v>130</v>
      </c>
      <c r="C5" s="166">
        <v>0</v>
      </c>
      <c r="D5" s="166">
        <v>0</v>
      </c>
      <c r="E5" s="166">
        <v>0</v>
      </c>
      <c r="F5" s="166">
        <v>0</v>
      </c>
      <c r="G5" s="166">
        <v>0</v>
      </c>
      <c r="H5" s="166">
        <v>0</v>
      </c>
      <c r="I5" s="30"/>
      <c r="J5" s="265"/>
    </row>
    <row r="6" spans="1:10" ht="15">
      <c r="A6" s="1"/>
      <c r="B6" s="122" t="s">
        <v>125</v>
      </c>
      <c r="C6" s="168">
        <v>245</v>
      </c>
      <c r="D6" s="168">
        <v>245</v>
      </c>
      <c r="E6" s="168">
        <v>245</v>
      </c>
      <c r="F6" s="168">
        <v>245</v>
      </c>
      <c r="G6" s="168">
        <v>245</v>
      </c>
      <c r="H6" s="168">
        <v>245</v>
      </c>
      <c r="I6" s="30"/>
      <c r="J6" s="265"/>
    </row>
    <row r="7" spans="1:10" ht="15">
      <c r="A7" s="1"/>
      <c r="B7" s="105" t="s">
        <v>121</v>
      </c>
      <c r="C7" s="169">
        <v>40.82</v>
      </c>
      <c r="D7" s="169">
        <v>40.82</v>
      </c>
      <c r="E7" s="169">
        <v>40.82</v>
      </c>
      <c r="F7" s="169">
        <v>40.82</v>
      </c>
      <c r="G7" s="169">
        <v>40.82</v>
      </c>
      <c r="H7" s="169">
        <v>40.82</v>
      </c>
      <c r="I7" s="30"/>
      <c r="J7" s="265"/>
    </row>
    <row r="8" spans="1:10" ht="15">
      <c r="A8" s="1"/>
      <c r="B8" s="105" t="s">
        <v>118</v>
      </c>
      <c r="C8" s="169">
        <v>63.27</v>
      </c>
      <c r="D8" s="169">
        <v>63.27</v>
      </c>
      <c r="E8" s="169">
        <v>63.27</v>
      </c>
      <c r="F8" s="169">
        <v>63.27</v>
      </c>
      <c r="G8" s="169">
        <v>63.27</v>
      </c>
      <c r="H8" s="169">
        <v>63.27</v>
      </c>
      <c r="I8" s="30"/>
      <c r="J8" s="265"/>
    </row>
    <row r="9" spans="1:10" ht="15">
      <c r="A9" s="1"/>
      <c r="B9" s="105" t="s">
        <v>115</v>
      </c>
      <c r="C9" s="169">
        <v>250</v>
      </c>
      <c r="D9" s="169">
        <v>250</v>
      </c>
      <c r="E9" s="169">
        <v>250</v>
      </c>
      <c r="F9" s="169">
        <v>250</v>
      </c>
      <c r="G9" s="169">
        <v>250</v>
      </c>
      <c r="H9" s="169">
        <v>250</v>
      </c>
      <c r="I9" s="30"/>
      <c r="J9" s="265"/>
    </row>
    <row r="10" spans="1:10" ht="15">
      <c r="A10" s="1"/>
      <c r="B10" s="105" t="s">
        <v>110</v>
      </c>
      <c r="C10" s="315">
        <v>66.67</v>
      </c>
      <c r="D10" s="315">
        <v>66.67</v>
      </c>
      <c r="E10" s="315">
        <v>66.67</v>
      </c>
      <c r="F10" s="315">
        <v>66.67</v>
      </c>
      <c r="G10" s="315">
        <v>66.67</v>
      </c>
      <c r="H10" s="315">
        <v>66.67</v>
      </c>
      <c r="I10" s="30"/>
      <c r="J10" s="265"/>
    </row>
    <row r="11" spans="1:10" ht="15">
      <c r="A11" s="1"/>
      <c r="C11" s="119"/>
      <c r="D11" s="119"/>
      <c r="E11" s="119"/>
      <c r="F11" s="119"/>
      <c r="G11" s="119"/>
      <c r="H11" s="119"/>
      <c r="I11" s="30"/>
      <c r="J11" s="191"/>
    </row>
    <row r="12" spans="1:255" s="237" customFormat="1" ht="45">
      <c r="A12" s="1"/>
      <c r="B12" s="238"/>
      <c r="C12" s="10" t="s">
        <v>204</v>
      </c>
      <c r="D12" s="10" t="s">
        <v>153</v>
      </c>
      <c r="E12" s="10" t="s">
        <v>140</v>
      </c>
      <c r="F12" s="10" t="s">
        <v>208</v>
      </c>
      <c r="G12" s="10" t="s">
        <v>150</v>
      </c>
      <c r="H12" s="10" t="s">
        <v>209</v>
      </c>
      <c r="I12" s="30"/>
      <c r="J12" s="191"/>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10" ht="15">
      <c r="A13" s="1"/>
      <c r="B13" s="233" t="s">
        <v>101</v>
      </c>
      <c r="C13" s="234"/>
      <c r="D13" s="235"/>
      <c r="E13" s="235"/>
      <c r="F13" s="235"/>
      <c r="G13" s="236"/>
      <c r="H13" s="235"/>
      <c r="I13" s="30"/>
      <c r="J13" s="191"/>
    </row>
    <row r="14" spans="1:10" ht="15">
      <c r="A14" s="1"/>
      <c r="B14" s="154" t="s">
        <v>96</v>
      </c>
      <c r="C14" s="171">
        <v>11990</v>
      </c>
      <c r="D14" s="171" t="s">
        <v>54</v>
      </c>
      <c r="E14" s="171">
        <v>12900</v>
      </c>
      <c r="F14" s="169">
        <v>11990</v>
      </c>
      <c r="G14" s="169">
        <v>11990</v>
      </c>
      <c r="H14" s="169">
        <v>11990</v>
      </c>
      <c r="I14" s="30"/>
      <c r="J14" s="265"/>
    </row>
    <row r="15" spans="1:10" ht="15">
      <c r="A15" s="1"/>
      <c r="B15" s="154" t="s">
        <v>93</v>
      </c>
      <c r="C15" s="171">
        <v>11990</v>
      </c>
      <c r="D15" s="169">
        <v>11990</v>
      </c>
      <c r="E15" s="169">
        <v>11990</v>
      </c>
      <c r="F15" s="169">
        <v>11990</v>
      </c>
      <c r="G15" s="169">
        <v>11990</v>
      </c>
      <c r="H15" s="169">
        <v>11990</v>
      </c>
      <c r="I15" s="30"/>
      <c r="J15" s="265"/>
    </row>
    <row r="16" spans="1:10" ht="15">
      <c r="A16" s="1"/>
      <c r="B16" s="154" t="s">
        <v>199</v>
      </c>
      <c r="C16" s="309">
        <f>ROUND(((TPS_number_of_access_infrastructure_servers*IF(TPS_access_infrastructure_server_cost="N/A",0,TPS_access_infrastructure_server_cost))+(TPS_number_of_management_servers*TPS_management_server_cost))/(TPS_number_of_access_infrastructure_servers+TPS_number_of_management_servers),0)</f>
        <v>11990</v>
      </c>
      <c r="D16" s="309">
        <f>ROUND(((TMR_number_of_access_infrastructure_servers*IF(TMR_access_infrastructure_server_cost="N/A",0,TMR_access_infrastructure_server_cost))+(TMR_number_of_management_servers*TMR_management_server_cost))/(TMR_number_of_access_infrastructure_servers+TMR_number_of_management_servers),0)</f>
        <v>11990</v>
      </c>
      <c r="E16" s="309">
        <f>ROUND(((VHD_number_of_access_infrastructure_servers*IF(VHD_access_infrastructure_server_cost="N/A",0,VHD_access_infrastructure_server_cost))+(VHD_number_of_management_servers*VHD_management_server_cost))/(VHD_number_of_access_infrastructure_servers+VHD_number_of_management_servers),0)</f>
        <v>13772</v>
      </c>
      <c r="F16" s="309">
        <f>ROUND(((OSS_number_of_access_infrastructure_servers*IF(OSS_access_infrastructure_server_cost="N/A",0,OSS_access_infrastructure_server_cost))+(OSS_number_of_management_servers*OSS_management_server_cost))/(OSS_number_of_access_infrastructure_servers+OSS_number_of_management_servers),0)</f>
        <v>11990</v>
      </c>
      <c r="G16" s="309">
        <f>ROUND(((BPC_number_of_access_infrastructure_servers*IF(BPC_BPC_access_infrastructure_server_cost="N/A",0,BPC_BPC_access_infrastructure_server_cost))+(BPC_number_of_management_servers*BPC_management_server_cost))/(BPC_number_of_access_infrastructure_servers+BPC_number_of_management_servers),0)</f>
        <v>11990</v>
      </c>
      <c r="H16" s="309">
        <f>ROUND(((AS_number_of_access_infrastructure_servers*IF(AS_access_infrastructure_server_cost="N/A",0,AS_access_infrastructure_server_cost))+(AS_number_of_management_servers*AS_management_server_cost))/(AS_number_of_access_infrastructure_servers+AS_number_of_management_servers),0)</f>
        <v>11990</v>
      </c>
      <c r="I16" s="30"/>
      <c r="J16" s="265"/>
    </row>
    <row r="17" spans="1:10" ht="15">
      <c r="A17" s="1"/>
      <c r="B17" s="154" t="s">
        <v>91</v>
      </c>
      <c r="C17" s="169">
        <v>453.6</v>
      </c>
      <c r="D17" s="169">
        <v>730</v>
      </c>
      <c r="E17" s="169">
        <v>453.6</v>
      </c>
      <c r="F17" s="169">
        <v>655</v>
      </c>
      <c r="G17" s="169">
        <v>453.6</v>
      </c>
      <c r="H17" s="169">
        <v>730</v>
      </c>
      <c r="I17" s="30"/>
      <c r="J17" s="265"/>
    </row>
    <row r="18" spans="1:10" ht="15">
      <c r="A18" s="1"/>
      <c r="B18" s="154" t="s">
        <v>89</v>
      </c>
      <c r="C18" s="169">
        <v>259.99</v>
      </c>
      <c r="D18" s="169">
        <v>259.99</v>
      </c>
      <c r="E18" s="169">
        <v>259.99</v>
      </c>
      <c r="F18" s="169">
        <v>259.99</v>
      </c>
      <c r="G18" s="169">
        <v>259.99</v>
      </c>
      <c r="H18" s="169">
        <v>259.99</v>
      </c>
      <c r="I18" s="30"/>
      <c r="J18" s="265"/>
    </row>
    <row r="19" spans="1:10" ht="15">
      <c r="A19" s="1"/>
      <c r="B19" s="225" t="s">
        <v>160</v>
      </c>
      <c r="C19" s="227">
        <v>250</v>
      </c>
      <c r="D19" s="227">
        <v>0</v>
      </c>
      <c r="E19" s="227">
        <v>189</v>
      </c>
      <c r="F19" s="227">
        <v>100</v>
      </c>
      <c r="G19" s="227">
        <v>25</v>
      </c>
      <c r="H19" s="227">
        <v>30</v>
      </c>
      <c r="I19" s="30"/>
      <c r="J19" s="265"/>
    </row>
    <row r="20" spans="2:10" ht="15">
      <c r="B20" s="156" t="s">
        <v>83</v>
      </c>
      <c r="C20" s="26">
        <f>TPS_clients_per_access_server</f>
        <v>57</v>
      </c>
      <c r="D20" s="29" t="str">
        <f>TMR_clients_per_access_server</f>
        <v>N/A</v>
      </c>
      <c r="E20" s="26">
        <f>VHD_clients_per_access_server</f>
        <v>36</v>
      </c>
      <c r="F20" s="27">
        <f>OSS_clients_per_access_server</f>
        <v>153</v>
      </c>
      <c r="G20" s="28" t="str">
        <f>BPC_clients_per_access_server</f>
        <v>N/A</v>
      </c>
      <c r="H20" s="29">
        <f>AS_clients_per_access_server</f>
        <v>399</v>
      </c>
      <c r="J20" s="265"/>
    </row>
    <row r="21" spans="1:10" ht="15">
      <c r="A21" s="1"/>
      <c r="B21" s="156" t="s">
        <v>79</v>
      </c>
      <c r="C21" s="228">
        <v>0</v>
      </c>
      <c r="D21" s="228">
        <v>0</v>
      </c>
      <c r="E21" s="228">
        <v>0</v>
      </c>
      <c r="F21" s="228">
        <v>0</v>
      </c>
      <c r="G21" s="228">
        <v>0</v>
      </c>
      <c r="H21" s="228">
        <v>0</v>
      </c>
      <c r="I21" s="30"/>
      <c r="J21" s="265"/>
    </row>
    <row r="22" spans="1:10" ht="15">
      <c r="A22" s="1"/>
      <c r="B22" s="156" t="s">
        <v>74</v>
      </c>
      <c r="C22" s="275">
        <v>500</v>
      </c>
      <c r="D22" s="275">
        <v>800</v>
      </c>
      <c r="E22" s="275">
        <v>500</v>
      </c>
      <c r="F22" s="275">
        <v>400</v>
      </c>
      <c r="G22" s="275">
        <v>375</v>
      </c>
      <c r="H22" s="275">
        <v>400</v>
      </c>
      <c r="I22" s="157"/>
      <c r="J22" s="265"/>
    </row>
    <row r="23" spans="1:10" ht="15">
      <c r="A23" s="1"/>
      <c r="B23" s="155" t="s">
        <v>70</v>
      </c>
      <c r="C23" s="275">
        <v>0</v>
      </c>
      <c r="D23" s="275">
        <v>0</v>
      </c>
      <c r="E23" s="275">
        <v>0</v>
      </c>
      <c r="F23" s="275">
        <v>0</v>
      </c>
      <c r="G23" s="275">
        <v>0</v>
      </c>
      <c r="H23" s="275">
        <v>0</v>
      </c>
      <c r="I23" s="157"/>
      <c r="J23" s="265"/>
    </row>
    <row r="24" spans="1:10" ht="15" customHeight="1">
      <c r="A24" s="1"/>
      <c r="B24" s="156" t="s">
        <v>68</v>
      </c>
      <c r="C24" s="275">
        <v>4</v>
      </c>
      <c r="D24" s="275">
        <v>4</v>
      </c>
      <c r="E24" s="275">
        <v>4</v>
      </c>
      <c r="F24" s="275">
        <v>4</v>
      </c>
      <c r="G24" s="275">
        <v>4</v>
      </c>
      <c r="H24" s="275">
        <v>4</v>
      </c>
      <c r="I24" s="191"/>
      <c r="J24" s="265"/>
    </row>
    <row r="25" spans="1:10" ht="15" customHeight="1">
      <c r="A25" s="1"/>
      <c r="B25" s="156" t="s">
        <v>307</v>
      </c>
      <c r="C25" s="275">
        <v>320</v>
      </c>
      <c r="D25" s="275">
        <v>0</v>
      </c>
      <c r="E25" s="275">
        <v>320</v>
      </c>
      <c r="F25" s="275">
        <v>320</v>
      </c>
      <c r="G25" s="275">
        <v>320</v>
      </c>
      <c r="H25" s="275">
        <v>960</v>
      </c>
      <c r="I25" s="191"/>
      <c r="J25" s="272"/>
    </row>
    <row r="26" spans="1:10" ht="15">
      <c r="A26" s="1"/>
      <c r="B26" s="156" t="s">
        <v>308</v>
      </c>
      <c r="C26" s="275">
        <v>20</v>
      </c>
      <c r="D26" s="275">
        <v>25</v>
      </c>
      <c r="E26" s="275">
        <v>20</v>
      </c>
      <c r="F26" s="275">
        <v>25</v>
      </c>
      <c r="G26" s="275">
        <v>25</v>
      </c>
      <c r="H26" s="275">
        <v>25</v>
      </c>
      <c r="I26" s="191"/>
      <c r="J26" s="265"/>
    </row>
    <row r="27" spans="1:10" ht="15">
      <c r="A27" s="1"/>
      <c r="B27" s="156" t="s">
        <v>161</v>
      </c>
      <c r="C27" s="229">
        <v>440</v>
      </c>
      <c r="D27" s="229">
        <v>440</v>
      </c>
      <c r="E27" s="229">
        <v>440</v>
      </c>
      <c r="F27" s="229">
        <v>440</v>
      </c>
      <c r="G27" s="229">
        <v>440</v>
      </c>
      <c r="H27" s="229">
        <v>440</v>
      </c>
      <c r="I27" s="30"/>
      <c r="J27" s="265"/>
    </row>
    <row r="28" spans="1:10" ht="15">
      <c r="A28" s="1"/>
      <c r="B28" s="156" t="s">
        <v>162</v>
      </c>
      <c r="C28" s="229">
        <v>50</v>
      </c>
      <c r="D28" s="229">
        <v>50</v>
      </c>
      <c r="E28" s="229">
        <v>50</v>
      </c>
      <c r="F28" s="229">
        <v>50</v>
      </c>
      <c r="G28" s="229">
        <v>50</v>
      </c>
      <c r="H28" s="229">
        <v>50</v>
      </c>
      <c r="I28" s="30"/>
      <c r="J28" s="265"/>
    </row>
    <row r="29" spans="1:10" ht="15" customHeight="1">
      <c r="A29" s="1"/>
      <c r="B29" s="156" t="s">
        <v>328</v>
      </c>
      <c r="C29" s="229">
        <v>8000</v>
      </c>
      <c r="D29" s="229">
        <v>8000</v>
      </c>
      <c r="E29" s="229">
        <v>8000</v>
      </c>
      <c r="F29" s="229">
        <v>8000</v>
      </c>
      <c r="G29" s="229">
        <v>8000</v>
      </c>
      <c r="H29" s="229">
        <v>8000</v>
      </c>
      <c r="I29" s="30"/>
      <c r="J29" s="266"/>
    </row>
    <row r="30" spans="1:10" ht="15">
      <c r="A30" s="1"/>
      <c r="B30" s="156" t="s">
        <v>61</v>
      </c>
      <c r="C30" s="275">
        <v>25</v>
      </c>
      <c r="D30" s="251">
        <v>25</v>
      </c>
      <c r="E30" s="251">
        <v>25</v>
      </c>
      <c r="F30" s="251">
        <v>25</v>
      </c>
      <c r="G30" s="251">
        <v>25</v>
      </c>
      <c r="H30" s="251">
        <v>25</v>
      </c>
      <c r="I30" s="30"/>
      <c r="J30" s="266"/>
    </row>
    <row r="31" spans="1:10" ht="15">
      <c r="A31" s="1"/>
      <c r="B31" s="156" t="s">
        <v>318</v>
      </c>
      <c r="C31" s="227">
        <v>300</v>
      </c>
      <c r="D31" s="227">
        <v>300</v>
      </c>
      <c r="E31" s="227">
        <v>300</v>
      </c>
      <c r="F31" s="227">
        <v>300</v>
      </c>
      <c r="G31" s="227">
        <v>300</v>
      </c>
      <c r="H31" s="227">
        <v>300</v>
      </c>
      <c r="I31" s="30"/>
      <c r="J31" s="266"/>
    </row>
    <row r="32" spans="1:10" ht="15">
      <c r="A32" s="1"/>
      <c r="B32" s="156" t="s">
        <v>332</v>
      </c>
      <c r="C32" s="230">
        <v>0.3</v>
      </c>
      <c r="D32" s="231">
        <v>0</v>
      </c>
      <c r="E32" s="231">
        <v>0.3</v>
      </c>
      <c r="F32" s="231">
        <v>0.3</v>
      </c>
      <c r="G32" s="231">
        <v>0.3</v>
      </c>
      <c r="H32" s="231">
        <v>0</v>
      </c>
      <c r="I32" s="30"/>
      <c r="J32" s="265"/>
    </row>
    <row r="33" spans="1:10" ht="15">
      <c r="A33" s="1"/>
      <c r="B33" s="294" t="s">
        <v>317</v>
      </c>
      <c r="C33" s="317">
        <v>5400</v>
      </c>
      <c r="D33" s="317">
        <v>5400</v>
      </c>
      <c r="E33" s="317">
        <v>5400</v>
      </c>
      <c r="F33" s="317">
        <v>5400</v>
      </c>
      <c r="G33" s="317">
        <v>5400</v>
      </c>
      <c r="H33" s="317">
        <v>5400</v>
      </c>
      <c r="I33" s="30"/>
      <c r="J33" s="265"/>
    </row>
    <row r="34" spans="1:10" ht="15">
      <c r="A34" s="1"/>
      <c r="B34" s="154" t="s">
        <v>214</v>
      </c>
      <c r="C34" s="28" t="s">
        <v>54</v>
      </c>
      <c r="D34" s="28" t="s">
        <v>54</v>
      </c>
      <c r="E34" s="28" t="s">
        <v>54</v>
      </c>
      <c r="F34" s="28" t="s">
        <v>54</v>
      </c>
      <c r="G34" s="171">
        <v>1103</v>
      </c>
      <c r="H34" s="28" t="s">
        <v>54</v>
      </c>
      <c r="I34" s="30"/>
      <c r="J34" s="265"/>
    </row>
    <row r="35" spans="1:10" ht="15">
      <c r="A35" s="1"/>
      <c r="B35" s="158" t="s">
        <v>55</v>
      </c>
      <c r="C35" s="28" t="s">
        <v>54</v>
      </c>
      <c r="D35" s="28" t="s">
        <v>54</v>
      </c>
      <c r="E35" s="28" t="s">
        <v>54</v>
      </c>
      <c r="F35" s="28" t="s">
        <v>54</v>
      </c>
      <c r="G35" s="171">
        <v>7000</v>
      </c>
      <c r="H35" s="28" t="s">
        <v>54</v>
      </c>
      <c r="I35" s="30"/>
      <c r="J35" s="265"/>
    </row>
    <row r="36" spans="1:10" ht="26.25">
      <c r="A36" s="1"/>
      <c r="B36" s="105" t="s">
        <v>52</v>
      </c>
      <c r="C36" s="172">
        <v>0</v>
      </c>
      <c r="D36" s="172">
        <v>0</v>
      </c>
      <c r="E36" s="172">
        <v>15</v>
      </c>
      <c r="F36" s="172">
        <v>10</v>
      </c>
      <c r="G36" s="172">
        <v>10</v>
      </c>
      <c r="H36" s="172">
        <v>0</v>
      </c>
      <c r="I36" s="30"/>
      <c r="J36" s="265"/>
    </row>
    <row r="37" spans="1:10" ht="15">
      <c r="A37" s="1"/>
      <c r="B37" s="105" t="s">
        <v>316</v>
      </c>
      <c r="C37" s="314">
        <v>6</v>
      </c>
      <c r="D37" s="314">
        <v>6</v>
      </c>
      <c r="E37" s="314">
        <v>6</v>
      </c>
      <c r="F37" s="314">
        <v>6</v>
      </c>
      <c r="G37" s="314">
        <v>6</v>
      </c>
      <c r="H37" s="314">
        <v>6</v>
      </c>
      <c r="I37" s="30"/>
      <c r="J37" s="265"/>
    </row>
    <row r="38" spans="1:10" ht="15">
      <c r="A38" s="1"/>
      <c r="B38" s="105" t="s">
        <v>50</v>
      </c>
      <c r="C38" s="315">
        <v>15</v>
      </c>
      <c r="D38" s="315">
        <v>30</v>
      </c>
      <c r="E38" s="315">
        <v>15</v>
      </c>
      <c r="F38" s="315">
        <v>59</v>
      </c>
      <c r="G38" s="315">
        <v>15</v>
      </c>
      <c r="H38" s="315">
        <v>59</v>
      </c>
      <c r="I38" s="30"/>
      <c r="J38" s="265"/>
    </row>
    <row r="39" spans="1:10" ht="15">
      <c r="A39" s="1"/>
      <c r="B39" s="159" t="s">
        <v>47</v>
      </c>
      <c r="C39" s="316">
        <v>12</v>
      </c>
      <c r="D39" s="316">
        <v>12</v>
      </c>
      <c r="E39" s="316">
        <v>12</v>
      </c>
      <c r="F39" s="316">
        <v>12</v>
      </c>
      <c r="G39" s="316">
        <v>12</v>
      </c>
      <c r="H39" s="316">
        <v>12</v>
      </c>
      <c r="I39" s="30"/>
      <c r="J39" s="265"/>
    </row>
    <row r="40" spans="1:10" s="274" customFormat="1" ht="15">
      <c r="A40" s="1"/>
      <c r="B40" s="154" t="s">
        <v>218</v>
      </c>
      <c r="C40" s="166">
        <v>0.02</v>
      </c>
      <c r="D40" s="166">
        <v>0</v>
      </c>
      <c r="E40" s="166">
        <v>0</v>
      </c>
      <c r="F40" s="166">
        <v>0</v>
      </c>
      <c r="G40" s="166">
        <v>0</v>
      </c>
      <c r="H40" s="166">
        <v>0</v>
      </c>
      <c r="I40" s="257"/>
      <c r="J40" s="265"/>
    </row>
    <row r="41" spans="1:10" ht="15">
      <c r="A41" s="1"/>
      <c r="B41" s="154" t="s">
        <v>219</v>
      </c>
      <c r="C41" s="166">
        <v>0.01</v>
      </c>
      <c r="D41" s="166">
        <v>0</v>
      </c>
      <c r="E41" s="166">
        <v>0</v>
      </c>
      <c r="F41" s="166">
        <v>0</v>
      </c>
      <c r="G41" s="166">
        <v>0</v>
      </c>
      <c r="H41" s="166">
        <v>1</v>
      </c>
      <c r="I41" s="30"/>
      <c r="J41" s="265"/>
    </row>
    <row r="42" spans="1:10" ht="15">
      <c r="A42" s="273"/>
      <c r="B42" s="154" t="s">
        <v>310</v>
      </c>
      <c r="C42" s="277">
        <v>40</v>
      </c>
      <c r="D42" s="277">
        <v>5</v>
      </c>
      <c r="E42" s="277">
        <v>27.5</v>
      </c>
      <c r="F42" s="277">
        <v>30</v>
      </c>
      <c r="G42" s="277">
        <v>25</v>
      </c>
      <c r="H42" s="277">
        <v>20</v>
      </c>
      <c r="I42" s="30"/>
      <c r="J42" s="265"/>
    </row>
    <row r="43" spans="1:10" ht="15">
      <c r="A43" s="1"/>
      <c r="B43" s="154" t="s">
        <v>163</v>
      </c>
      <c r="C43" s="171">
        <v>125</v>
      </c>
      <c r="D43" s="171">
        <v>125</v>
      </c>
      <c r="E43" s="171">
        <v>125</v>
      </c>
      <c r="F43" s="171">
        <v>125</v>
      </c>
      <c r="G43" s="171">
        <v>125</v>
      </c>
      <c r="H43" s="171">
        <v>125</v>
      </c>
      <c r="I43" s="160"/>
      <c r="J43" s="266"/>
    </row>
    <row r="44" spans="1:10" ht="15">
      <c r="A44" s="1"/>
      <c r="B44" s="154" t="s">
        <v>312</v>
      </c>
      <c r="C44" s="172">
        <v>2650</v>
      </c>
      <c r="D44" s="172">
        <v>2650</v>
      </c>
      <c r="E44" s="172">
        <v>2650</v>
      </c>
      <c r="F44" s="172">
        <v>2650</v>
      </c>
      <c r="G44" s="172">
        <v>2650</v>
      </c>
      <c r="H44" s="172">
        <v>6</v>
      </c>
      <c r="I44" s="30"/>
      <c r="J44" s="265"/>
    </row>
    <row r="45" spans="1:10" ht="15">
      <c r="A45" s="1"/>
      <c r="B45" s="154" t="s">
        <v>39</v>
      </c>
      <c r="C45" s="172">
        <v>3</v>
      </c>
      <c r="D45" s="172">
        <v>0</v>
      </c>
      <c r="E45" s="172">
        <v>2</v>
      </c>
      <c r="F45" s="172">
        <v>1</v>
      </c>
      <c r="G45" s="172">
        <v>2</v>
      </c>
      <c r="H45" s="172">
        <v>1</v>
      </c>
      <c r="I45" s="160"/>
      <c r="J45" s="266"/>
    </row>
    <row r="46" spans="1:10" ht="15">
      <c r="A46" s="1"/>
      <c r="B46" s="154" t="s">
        <v>203</v>
      </c>
      <c r="C46" s="172">
        <v>30</v>
      </c>
      <c r="D46" s="172">
        <v>30</v>
      </c>
      <c r="E46" s="172">
        <v>30</v>
      </c>
      <c r="F46" s="172">
        <v>30</v>
      </c>
      <c r="G46" s="172">
        <v>30</v>
      </c>
      <c r="H46" s="172">
        <v>30</v>
      </c>
      <c r="I46" s="160"/>
      <c r="J46" s="266"/>
    </row>
    <row r="47" spans="1:10" ht="15">
      <c r="A47" s="1"/>
      <c r="B47" s="154" t="s">
        <v>37</v>
      </c>
      <c r="C47" s="172">
        <v>80</v>
      </c>
      <c r="D47" s="172">
        <v>0</v>
      </c>
      <c r="E47" s="172">
        <v>80</v>
      </c>
      <c r="F47" s="172">
        <v>40</v>
      </c>
      <c r="G47" s="172">
        <v>80</v>
      </c>
      <c r="H47" s="172">
        <v>40</v>
      </c>
      <c r="I47" s="160"/>
      <c r="J47" s="266"/>
    </row>
    <row r="48" spans="1:10" ht="15">
      <c r="A48" s="1"/>
      <c r="B48" s="154" t="s">
        <v>200</v>
      </c>
      <c r="C48" s="171">
        <v>2500</v>
      </c>
      <c r="D48" s="171">
        <v>2500</v>
      </c>
      <c r="E48" s="171">
        <v>2500</v>
      </c>
      <c r="F48" s="171">
        <v>2500</v>
      </c>
      <c r="G48" s="171">
        <v>2500</v>
      </c>
      <c r="H48" s="171">
        <v>2500</v>
      </c>
      <c r="I48" s="30"/>
      <c r="J48" s="266"/>
    </row>
    <row r="49" spans="1:10" ht="15">
      <c r="A49" s="1"/>
      <c r="B49" s="154" t="s">
        <v>201</v>
      </c>
      <c r="C49" s="308">
        <f>ROUND(TPS_admin_training_hours*TPS_admin_training_cost/40,0)</f>
        <v>5000</v>
      </c>
      <c r="D49" s="308">
        <f>ROUND(TMR_admin_training_hours*TMR_admin_training_cost/40,0)</f>
        <v>0</v>
      </c>
      <c r="E49" s="308">
        <f>ROUND(VHD_admin_training_hours*VHD_admin_training_cost/40,0)</f>
        <v>5000</v>
      </c>
      <c r="F49" s="308">
        <f>ROUND(OSS_admin_training_hours*OSS_admin_training_cost/40,0)</f>
        <v>2500</v>
      </c>
      <c r="G49" s="308">
        <f>ROUND(BPC_admin_training_hours*BPC_admin_training_cost/40,0)</f>
        <v>5000</v>
      </c>
      <c r="H49" s="308">
        <f>ROUND(AS_admin_training_hours*AS_admin_training_cost/40,0)</f>
        <v>2500</v>
      </c>
      <c r="I49" s="30"/>
      <c r="J49" s="266"/>
    </row>
    <row r="50" spans="1:10" ht="15">
      <c r="A50" s="1"/>
      <c r="B50" s="154" t="s">
        <v>32</v>
      </c>
      <c r="C50" s="171">
        <v>0</v>
      </c>
      <c r="D50" s="171">
        <v>0</v>
      </c>
      <c r="E50" s="171">
        <v>0</v>
      </c>
      <c r="F50" s="171">
        <v>0</v>
      </c>
      <c r="G50" s="171">
        <v>0</v>
      </c>
      <c r="H50" s="171">
        <v>0</v>
      </c>
      <c r="I50" s="30"/>
      <c r="J50" s="257"/>
    </row>
    <row r="51" spans="1:255" s="237" customFormat="1" ht="15">
      <c r="A51" s="1"/>
      <c r="B51" s="154" t="s">
        <v>165</v>
      </c>
      <c r="C51" s="166">
        <v>1</v>
      </c>
      <c r="D51" s="166">
        <v>0</v>
      </c>
      <c r="E51" s="166">
        <v>1</v>
      </c>
      <c r="F51" s="166">
        <v>1</v>
      </c>
      <c r="G51" s="166">
        <v>1</v>
      </c>
      <c r="H51" s="166">
        <v>1</v>
      </c>
      <c r="I51" s="30"/>
      <c r="J51" s="257"/>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row>
    <row r="52" spans="1:10" ht="15">
      <c r="A52" s="1"/>
      <c r="B52" s="161"/>
      <c r="C52" s="119"/>
      <c r="D52" s="119"/>
      <c r="E52" s="119"/>
      <c r="F52" s="119"/>
      <c r="G52" s="119"/>
      <c r="H52" s="119"/>
      <c r="I52" s="30"/>
      <c r="J52" s="257"/>
    </row>
    <row r="53" spans="1:10" ht="45">
      <c r="A53" s="1"/>
      <c r="B53" s="238"/>
      <c r="C53" s="10" t="s">
        <v>204</v>
      </c>
      <c r="D53" s="10" t="s">
        <v>153</v>
      </c>
      <c r="E53" s="10" t="s">
        <v>140</v>
      </c>
      <c r="F53" s="10" t="s">
        <v>208</v>
      </c>
      <c r="G53" s="10" t="s">
        <v>150</v>
      </c>
      <c r="H53" s="10" t="s">
        <v>209</v>
      </c>
      <c r="I53" s="30"/>
      <c r="J53" s="266"/>
    </row>
    <row r="54" spans="1:10" ht="15">
      <c r="A54" s="1"/>
      <c r="B54" s="153" t="s">
        <v>27</v>
      </c>
      <c r="C54" s="187"/>
      <c r="D54" s="188"/>
      <c r="E54" s="188"/>
      <c r="F54" s="188"/>
      <c r="G54" s="189"/>
      <c r="H54" s="188"/>
      <c r="I54" s="30"/>
      <c r="J54" s="266"/>
    </row>
    <row r="55" spans="1:10" ht="15">
      <c r="A55" s="1"/>
      <c r="B55" s="151" t="s">
        <v>180</v>
      </c>
      <c r="C55" s="173">
        <v>8</v>
      </c>
      <c r="D55" s="173">
        <v>8</v>
      </c>
      <c r="E55" s="173">
        <v>8</v>
      </c>
      <c r="F55" s="173">
        <v>8</v>
      </c>
      <c r="G55" s="173">
        <v>8</v>
      </c>
      <c r="H55" s="173">
        <v>8</v>
      </c>
      <c r="I55" s="30"/>
      <c r="J55" s="266"/>
    </row>
    <row r="56" spans="1:10" ht="15">
      <c r="A56" s="1"/>
      <c r="B56" s="151" t="s">
        <v>181</v>
      </c>
      <c r="C56" s="173">
        <v>16</v>
      </c>
      <c r="D56" s="173">
        <v>16</v>
      </c>
      <c r="E56" s="173">
        <v>16</v>
      </c>
      <c r="F56" s="173">
        <v>16</v>
      </c>
      <c r="G56" s="173">
        <v>16</v>
      </c>
      <c r="H56" s="173">
        <v>16</v>
      </c>
      <c r="I56" s="30"/>
      <c r="J56" s="266"/>
    </row>
    <row r="57" spans="1:10" ht="26.25">
      <c r="A57" s="1"/>
      <c r="B57" s="151" t="s">
        <v>183</v>
      </c>
      <c r="C57" s="173">
        <v>0</v>
      </c>
      <c r="D57" s="173">
        <v>0</v>
      </c>
      <c r="E57" s="173">
        <v>0</v>
      </c>
      <c r="F57" s="173">
        <v>0</v>
      </c>
      <c r="G57" s="173">
        <v>0</v>
      </c>
      <c r="H57" s="173">
        <v>0</v>
      </c>
      <c r="I57" s="30"/>
      <c r="J57" s="266"/>
    </row>
    <row r="58" spans="1:10" ht="15">
      <c r="A58" s="1"/>
      <c r="B58" s="151" t="s">
        <v>182</v>
      </c>
      <c r="C58" s="173">
        <v>0</v>
      </c>
      <c r="D58" s="173">
        <v>0</v>
      </c>
      <c r="E58" s="173">
        <v>0</v>
      </c>
      <c r="F58" s="173">
        <v>0</v>
      </c>
      <c r="G58" s="173">
        <v>0</v>
      </c>
      <c r="H58" s="173">
        <v>0</v>
      </c>
      <c r="I58" s="30"/>
      <c r="J58" s="266"/>
    </row>
    <row r="59" spans="1:10" ht="15">
      <c r="A59" s="1"/>
      <c r="B59" s="70" t="s">
        <v>185</v>
      </c>
      <c r="C59" s="307">
        <f>ROUND((TPS_Client_On_Hours_Per_Day*TPS_workdays_per_year)+(TPS_Client_On_Hours_Per_HoliDay*(365-TPS_workdays_per_year)),0)</f>
        <v>1960</v>
      </c>
      <c r="D59" s="307">
        <f>ROUND((TMR_Client_On_Hours_Per_Day*TMR_workdays_per_year)+(TMR_Client_On_Hours_Per_Holiday*(365-TMR_workdays_per_year)),0)</f>
        <v>1960</v>
      </c>
      <c r="E59" s="307">
        <f>ROUND((VHD_Client_On_Hours_Per_Day*VHD_workdays_per_year)+(VHD_Client_On_Hours_Per_Holiday*(365-VHD_workdays_per_year)),0)</f>
        <v>1960</v>
      </c>
      <c r="F59" s="307">
        <f>ROUND((OSS_Client_On_Hours_Per_Day*OSS_workdays_per_year)+(OSS_Client_On_Hours_Per_Holiday*(365-OSS_workdays_per_year)),0)</f>
        <v>1960</v>
      </c>
      <c r="G59" s="307">
        <f>ROUND((BPC_Client_On_Hours_Per_Day*BPC_workdays_per_year)+(BPC_Client_On_Hours_Per_Holiday*(365-BPC_workdays_per_year)),0)</f>
        <v>1960</v>
      </c>
      <c r="H59" s="307">
        <f>ROUND((AS_Client_On_Hours_Per_Day*AS_workdays_per_year)+(AS_Client_On_Hours_Per_Holiday*(365-AS_workdays_per_year)),0)</f>
        <v>1960</v>
      </c>
      <c r="I59" s="30"/>
      <c r="J59" s="266"/>
    </row>
    <row r="60" spans="1:10" ht="15">
      <c r="A60" s="1"/>
      <c r="B60" s="70" t="s">
        <v>184</v>
      </c>
      <c r="C60" s="307">
        <f>ROUND((TPS_standby_hours_per_day*TPS_workdays_per_year)+(TPS_standby_hours_per_Holiday*(365-TPS_workdays_per_year)),0)</f>
        <v>3920</v>
      </c>
      <c r="D60" s="307">
        <f>ROUND((TMR_standby_hours_per_day*TMR_workdays_per_year)+(TMR_standby_hours_per_holiday*(365-TMR_workdays_per_year)),0)</f>
        <v>3920</v>
      </c>
      <c r="E60" s="307">
        <f>ROUND((VHD_standby_hours_per_day*VHD_workdays_per_year)+(VHD_standby_hours_per_holiday*(365-VHD_workdays_per_year)),0)</f>
        <v>3920</v>
      </c>
      <c r="F60" s="307">
        <f>ROUND((OSS_standby_hours_per_day*OSS_workdays_per_year)+(OSS_standby_hours_per_holiday*(365-OSS_workdays_per_year)),0)</f>
        <v>3920</v>
      </c>
      <c r="G60" s="307">
        <f>ROUND((BPC_standby_hours_per_day*BPC_workdays_per_year)+(BPC_standby_hours_per_holiday*(365-BPC_workdays_per_year)),0)</f>
        <v>3920</v>
      </c>
      <c r="H60" s="307">
        <f>ROUND((AS_standby_hours_per_day*AS_workdays_per_year)+(AS_standby_hours_per_holiday*(365-AS_workdays_per_year)),0)</f>
        <v>3920</v>
      </c>
      <c r="I60" s="30"/>
      <c r="J60" s="266"/>
    </row>
    <row r="61" spans="1:10" ht="15" customHeight="1">
      <c r="A61" s="1"/>
      <c r="B61" s="70" t="s">
        <v>186</v>
      </c>
      <c r="C61" s="307">
        <f aca="true" t="shared" si="0" ref="C61:H61">ROUND((365*24)-C59-C60,0)</f>
        <v>2880</v>
      </c>
      <c r="D61" s="307">
        <f t="shared" si="0"/>
        <v>2880</v>
      </c>
      <c r="E61" s="307">
        <f t="shared" si="0"/>
        <v>2880</v>
      </c>
      <c r="F61" s="307">
        <f t="shared" si="0"/>
        <v>2880</v>
      </c>
      <c r="G61" s="307">
        <f t="shared" si="0"/>
        <v>2880</v>
      </c>
      <c r="H61" s="307">
        <f t="shared" si="0"/>
        <v>2880</v>
      </c>
      <c r="I61" s="30"/>
      <c r="J61" s="266"/>
    </row>
    <row r="62" spans="1:10" ht="15">
      <c r="A62" s="1"/>
      <c r="B62" s="70" t="s">
        <v>25</v>
      </c>
      <c r="C62" s="167">
        <v>15.1</v>
      </c>
      <c r="D62" s="167">
        <v>89.8</v>
      </c>
      <c r="E62" s="167">
        <v>15.1</v>
      </c>
      <c r="F62" s="167">
        <v>89.8</v>
      </c>
      <c r="G62" s="167">
        <v>15.1</v>
      </c>
      <c r="H62" s="167">
        <v>89.8</v>
      </c>
      <c r="I62" s="30"/>
      <c r="J62" s="266"/>
    </row>
    <row r="63" spans="1:10" ht="15">
      <c r="A63" s="1"/>
      <c r="B63" s="105" t="s">
        <v>22</v>
      </c>
      <c r="C63" s="167">
        <v>0.3</v>
      </c>
      <c r="D63" s="167">
        <v>3.4</v>
      </c>
      <c r="E63" s="167">
        <v>0.3</v>
      </c>
      <c r="F63" s="167">
        <v>3.4</v>
      </c>
      <c r="G63" s="167">
        <v>0.3</v>
      </c>
      <c r="H63" s="167">
        <v>3.4</v>
      </c>
      <c r="I63" s="30"/>
      <c r="J63" s="266"/>
    </row>
    <row r="64" spans="1:10" ht="15">
      <c r="A64" s="1"/>
      <c r="B64" s="105" t="s">
        <v>19</v>
      </c>
      <c r="C64" s="167">
        <v>0</v>
      </c>
      <c r="D64" s="167">
        <v>0</v>
      </c>
      <c r="E64" s="167">
        <v>0</v>
      </c>
      <c r="F64" s="167">
        <v>0</v>
      </c>
      <c r="G64" s="167">
        <v>0</v>
      </c>
      <c r="H64" s="167">
        <v>0</v>
      </c>
      <c r="I64" s="30"/>
      <c r="J64" s="266"/>
    </row>
    <row r="65" spans="1:10" ht="15">
      <c r="A65" s="1"/>
      <c r="B65" s="150" t="s">
        <v>18</v>
      </c>
      <c r="C65" s="167">
        <v>28.1</v>
      </c>
      <c r="D65" s="167">
        <v>28.1</v>
      </c>
      <c r="E65" s="167">
        <v>28.1</v>
      </c>
      <c r="F65" s="167">
        <v>28.1</v>
      </c>
      <c r="G65" s="167">
        <v>28.1</v>
      </c>
      <c r="H65" s="167">
        <v>28.1</v>
      </c>
      <c r="I65" s="30"/>
      <c r="J65" s="266"/>
    </row>
    <row r="66" spans="1:10" ht="15">
      <c r="A66" s="1"/>
      <c r="B66" s="150" t="s">
        <v>17</v>
      </c>
      <c r="C66" s="167">
        <v>0.7</v>
      </c>
      <c r="D66" s="167">
        <v>0.7</v>
      </c>
      <c r="E66" s="167">
        <v>0.7</v>
      </c>
      <c r="F66" s="167">
        <v>0.7</v>
      </c>
      <c r="G66" s="167">
        <v>0.7</v>
      </c>
      <c r="H66" s="167">
        <v>0.7</v>
      </c>
      <c r="I66" s="30"/>
      <c r="J66" s="266"/>
    </row>
    <row r="67" spans="1:10" ht="15">
      <c r="A67" s="1"/>
      <c r="B67" s="150" t="s">
        <v>16</v>
      </c>
      <c r="C67" s="167">
        <v>0</v>
      </c>
      <c r="D67" s="167">
        <v>0</v>
      </c>
      <c r="E67" s="167">
        <v>0</v>
      </c>
      <c r="F67" s="167">
        <v>0</v>
      </c>
      <c r="G67" s="167">
        <v>0</v>
      </c>
      <c r="H67" s="167">
        <v>0</v>
      </c>
      <c r="I67" s="30"/>
      <c r="J67" s="266"/>
    </row>
    <row r="68" spans="1:10" ht="15">
      <c r="A68" s="1"/>
      <c r="B68" s="151" t="s">
        <v>188</v>
      </c>
      <c r="C68" s="190" t="s">
        <v>54</v>
      </c>
      <c r="D68" s="190" t="s">
        <v>54</v>
      </c>
      <c r="E68" s="190" t="s">
        <v>54</v>
      </c>
      <c r="F68" s="190" t="s">
        <v>54</v>
      </c>
      <c r="G68" s="173">
        <v>8</v>
      </c>
      <c r="H68" s="190" t="s">
        <v>54</v>
      </c>
      <c r="I68" s="30"/>
      <c r="J68" s="266"/>
    </row>
    <row r="69" spans="1:10" ht="15">
      <c r="A69" s="1"/>
      <c r="B69" s="151" t="s">
        <v>189</v>
      </c>
      <c r="C69" s="190" t="s">
        <v>54</v>
      </c>
      <c r="D69" s="190" t="s">
        <v>54</v>
      </c>
      <c r="E69" s="190" t="s">
        <v>54</v>
      </c>
      <c r="F69" s="190" t="s">
        <v>54</v>
      </c>
      <c r="G69" s="173">
        <v>16</v>
      </c>
      <c r="H69" s="190" t="s">
        <v>54</v>
      </c>
      <c r="I69" s="30"/>
      <c r="J69" s="266"/>
    </row>
    <row r="70" spans="1:10" ht="26.25">
      <c r="A70" s="1"/>
      <c r="B70" s="151" t="s">
        <v>190</v>
      </c>
      <c r="C70" s="190" t="s">
        <v>54</v>
      </c>
      <c r="D70" s="190" t="s">
        <v>54</v>
      </c>
      <c r="E70" s="190" t="s">
        <v>54</v>
      </c>
      <c r="F70" s="190" t="s">
        <v>54</v>
      </c>
      <c r="G70" s="173">
        <v>8</v>
      </c>
      <c r="H70" s="190" t="s">
        <v>54</v>
      </c>
      <c r="I70" s="30"/>
      <c r="J70" s="266"/>
    </row>
    <row r="71" spans="1:10" ht="15">
      <c r="A71" s="1"/>
      <c r="B71" s="151" t="s">
        <v>191</v>
      </c>
      <c r="C71" s="190" t="s">
        <v>54</v>
      </c>
      <c r="D71" s="190" t="s">
        <v>54</v>
      </c>
      <c r="E71" s="190" t="s">
        <v>54</v>
      </c>
      <c r="F71" s="190" t="s">
        <v>54</v>
      </c>
      <c r="G71" s="173">
        <v>16</v>
      </c>
      <c r="H71" s="190" t="s">
        <v>54</v>
      </c>
      <c r="I71" s="30"/>
      <c r="J71" s="266"/>
    </row>
    <row r="72" spans="1:10" ht="15">
      <c r="A72" s="1"/>
      <c r="B72" s="70" t="s">
        <v>192</v>
      </c>
      <c r="C72" s="190" t="s">
        <v>54</v>
      </c>
      <c r="D72" s="190" t="s">
        <v>54</v>
      </c>
      <c r="E72" s="190" t="s">
        <v>54</v>
      </c>
      <c r="F72" s="190" t="s">
        <v>54</v>
      </c>
      <c r="G72" s="307">
        <f>ROUND((BPC_Blade_On_Hours_Per_Day*BPC_workdays_per_year)+(BPC_Blade_On_Hours_Per_Holiday*(365-BPC_workdays_per_year)),0)</f>
        <v>2920</v>
      </c>
      <c r="H72" s="190" t="s">
        <v>54</v>
      </c>
      <c r="I72" s="30"/>
      <c r="J72" s="266"/>
    </row>
    <row r="73" spans="1:10" ht="15">
      <c r="A73" s="1"/>
      <c r="B73" s="70" t="s">
        <v>193</v>
      </c>
      <c r="C73" s="190" t="s">
        <v>54</v>
      </c>
      <c r="D73" s="190" t="s">
        <v>54</v>
      </c>
      <c r="E73" s="190" t="s">
        <v>54</v>
      </c>
      <c r="F73" s="190" t="s">
        <v>54</v>
      </c>
      <c r="G73" s="307">
        <f>ROUND((BPC_blade_standby_hours_per_day*BPC_workdays_per_year)+(BPC_blade_standby_hours_per_holiday*(365-BPC_workdays_per_year)),0)</f>
        <v>5840</v>
      </c>
      <c r="H73" s="190" t="s">
        <v>54</v>
      </c>
      <c r="I73" s="30"/>
      <c r="J73" s="266"/>
    </row>
    <row r="74" spans="1:10" ht="15" customHeight="1">
      <c r="A74" s="1"/>
      <c r="B74" s="70" t="s">
        <v>194</v>
      </c>
      <c r="C74" s="190" t="s">
        <v>54</v>
      </c>
      <c r="D74" s="190" t="s">
        <v>54</v>
      </c>
      <c r="E74" s="190" t="s">
        <v>54</v>
      </c>
      <c r="F74" s="190" t="s">
        <v>54</v>
      </c>
      <c r="G74" s="307">
        <f>ROUND((365*24)-G72-G73,0)</f>
        <v>0</v>
      </c>
      <c r="H74" s="190" t="s">
        <v>54</v>
      </c>
      <c r="I74" s="30"/>
      <c r="J74" s="266"/>
    </row>
    <row r="75" spans="1:10" ht="15">
      <c r="A75" s="1"/>
      <c r="B75" s="70" t="s">
        <v>143</v>
      </c>
      <c r="C75" s="190" t="s">
        <v>54</v>
      </c>
      <c r="D75" s="190" t="s">
        <v>54</v>
      </c>
      <c r="E75" s="190" t="s">
        <v>54</v>
      </c>
      <c r="F75" s="190" t="s">
        <v>54</v>
      </c>
      <c r="G75" s="167">
        <v>32</v>
      </c>
      <c r="H75" s="190" t="s">
        <v>54</v>
      </c>
      <c r="I75" s="30"/>
      <c r="J75" s="266"/>
    </row>
    <row r="76" spans="1:10" ht="15">
      <c r="A76" s="1"/>
      <c r="B76" s="105" t="s">
        <v>142</v>
      </c>
      <c r="C76" s="190" t="s">
        <v>54</v>
      </c>
      <c r="D76" s="190" t="s">
        <v>54</v>
      </c>
      <c r="E76" s="190" t="s">
        <v>54</v>
      </c>
      <c r="F76" s="190" t="s">
        <v>54</v>
      </c>
      <c r="G76" s="167">
        <v>29.98</v>
      </c>
      <c r="H76" s="190" t="s">
        <v>54</v>
      </c>
      <c r="I76" s="30"/>
      <c r="J76" s="266"/>
    </row>
    <row r="77" spans="1:10" ht="15">
      <c r="A77" s="1"/>
      <c r="B77" s="105" t="s">
        <v>141</v>
      </c>
      <c r="C77" s="190" t="s">
        <v>54</v>
      </c>
      <c r="D77" s="190" t="s">
        <v>54</v>
      </c>
      <c r="E77" s="190" t="s">
        <v>54</v>
      </c>
      <c r="F77" s="190" t="s">
        <v>54</v>
      </c>
      <c r="G77" s="167">
        <v>0</v>
      </c>
      <c r="H77" s="190" t="s">
        <v>54</v>
      </c>
      <c r="I77" s="30"/>
      <c r="J77" s="266"/>
    </row>
    <row r="78" spans="1:10" ht="15">
      <c r="A78" s="1"/>
      <c r="B78" s="150" t="s">
        <v>334</v>
      </c>
      <c r="C78" s="312">
        <v>446</v>
      </c>
      <c r="D78" s="312">
        <v>446</v>
      </c>
      <c r="E78" s="312">
        <v>446</v>
      </c>
      <c r="F78" s="312">
        <v>446</v>
      </c>
      <c r="G78" s="312">
        <v>446</v>
      </c>
      <c r="H78" s="312">
        <v>446</v>
      </c>
      <c r="I78" s="30"/>
      <c r="J78" s="266"/>
    </row>
    <row r="79" spans="1:10" ht="12" customHeight="1">
      <c r="A79" s="1"/>
      <c r="B79" s="150" t="s">
        <v>337</v>
      </c>
      <c r="C79" s="312">
        <v>389</v>
      </c>
      <c r="D79" s="312">
        <v>389</v>
      </c>
      <c r="E79" s="312">
        <v>389</v>
      </c>
      <c r="F79" s="312">
        <v>389</v>
      </c>
      <c r="G79" s="312">
        <v>389</v>
      </c>
      <c r="H79" s="312">
        <v>389</v>
      </c>
      <c r="I79" s="30"/>
      <c r="J79" s="257"/>
    </row>
    <row r="80" spans="1:255" s="237" customFormat="1" ht="15">
      <c r="A80" s="1"/>
      <c r="B80" s="150" t="s">
        <v>335</v>
      </c>
      <c r="C80" s="313">
        <v>0.333</v>
      </c>
      <c r="D80" s="313">
        <v>0.333</v>
      </c>
      <c r="E80" s="313">
        <v>0.333</v>
      </c>
      <c r="F80" s="313">
        <v>0.333</v>
      </c>
      <c r="G80" s="313">
        <v>0.333</v>
      </c>
      <c r="H80" s="313">
        <v>0.333</v>
      </c>
      <c r="I80" s="30"/>
      <c r="J80" s="257"/>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row>
    <row r="81" spans="1:10" ht="15">
      <c r="A81" s="1"/>
      <c r="B81" s="150" t="s">
        <v>336</v>
      </c>
      <c r="C81" s="307">
        <f aca="true" t="shared" si="1" ref="C81:H81">ROUND(C79+((C78-C79)*C80),0)</f>
        <v>408</v>
      </c>
      <c r="D81" s="307">
        <f t="shared" si="1"/>
        <v>408</v>
      </c>
      <c r="E81" s="307">
        <f t="shared" si="1"/>
        <v>408</v>
      </c>
      <c r="F81" s="307">
        <f t="shared" si="1"/>
        <v>408</v>
      </c>
      <c r="G81" s="307">
        <f t="shared" si="1"/>
        <v>408</v>
      </c>
      <c r="H81" s="307">
        <f t="shared" si="1"/>
        <v>408</v>
      </c>
      <c r="I81" s="30"/>
      <c r="J81" s="257"/>
    </row>
    <row r="82" spans="1:10" ht="25.5">
      <c r="A82" s="1"/>
      <c r="B82" s="152" t="s">
        <v>15</v>
      </c>
      <c r="C82" s="174">
        <v>1</v>
      </c>
      <c r="D82" s="174">
        <v>1</v>
      </c>
      <c r="E82" s="174">
        <v>1</v>
      </c>
      <c r="F82" s="174">
        <v>1</v>
      </c>
      <c r="G82" s="174">
        <v>1</v>
      </c>
      <c r="H82" s="174">
        <v>1</v>
      </c>
      <c r="I82" s="30"/>
      <c r="J82" s="266"/>
    </row>
    <row r="83" spans="1:10" ht="15">
      <c r="A83" s="1"/>
      <c r="B83" s="152" t="s">
        <v>14</v>
      </c>
      <c r="C83" s="311">
        <v>0.08</v>
      </c>
      <c r="D83" s="311">
        <v>0.08</v>
      </c>
      <c r="E83" s="311">
        <v>0.08</v>
      </c>
      <c r="F83" s="311">
        <v>0.08</v>
      </c>
      <c r="G83" s="311">
        <v>0.08</v>
      </c>
      <c r="H83" s="311">
        <v>0.08</v>
      </c>
      <c r="I83" s="30"/>
      <c r="J83" s="266"/>
    </row>
    <row r="84" spans="1:10" ht="15">
      <c r="A84" s="1"/>
      <c r="B84" s="162"/>
      <c r="C84" s="220"/>
      <c r="D84" s="220"/>
      <c r="E84" s="220"/>
      <c r="F84" s="220"/>
      <c r="G84" s="220"/>
      <c r="H84" s="220"/>
      <c r="I84" s="30"/>
      <c r="J84" s="266"/>
    </row>
    <row r="85" spans="1:10" ht="45">
      <c r="A85" s="1"/>
      <c r="B85" s="238"/>
      <c r="C85" s="10" t="s">
        <v>204</v>
      </c>
      <c r="D85" s="10" t="s">
        <v>153</v>
      </c>
      <c r="E85" s="10" t="s">
        <v>140</v>
      </c>
      <c r="F85" s="10" t="s">
        <v>208</v>
      </c>
      <c r="G85" s="10" t="s">
        <v>150</v>
      </c>
      <c r="H85" s="10" t="s">
        <v>209</v>
      </c>
      <c r="I85" s="30"/>
      <c r="J85" s="266"/>
    </row>
    <row r="86" spans="1:10" ht="15">
      <c r="A86" s="1"/>
      <c r="B86" s="153" t="s">
        <v>13</v>
      </c>
      <c r="C86" s="187"/>
      <c r="D86" s="188"/>
      <c r="E86" s="188"/>
      <c r="F86" s="188"/>
      <c r="G86" s="189"/>
      <c r="H86" s="188"/>
      <c r="J86" s="266"/>
    </row>
    <row r="87" spans="1:10" ht="15">
      <c r="A87" s="1"/>
      <c r="B87" s="105" t="s">
        <v>168</v>
      </c>
      <c r="C87" s="176">
        <v>12</v>
      </c>
      <c r="D87" s="176">
        <v>12</v>
      </c>
      <c r="E87" s="176">
        <v>12</v>
      </c>
      <c r="F87" s="176">
        <v>12</v>
      </c>
      <c r="G87" s="176">
        <v>12</v>
      </c>
      <c r="H87" s="176">
        <v>12</v>
      </c>
      <c r="J87" s="266"/>
    </row>
    <row r="88" spans="1:10" ht="15">
      <c r="A88" s="1"/>
      <c r="B88" s="70" t="s">
        <v>12</v>
      </c>
      <c r="C88" s="177">
        <v>0.98</v>
      </c>
      <c r="D88" s="177">
        <v>0.84</v>
      </c>
      <c r="E88" s="177">
        <v>0.98</v>
      </c>
      <c r="F88" s="177">
        <v>0.98</v>
      </c>
      <c r="G88" s="177">
        <v>0.98</v>
      </c>
      <c r="H88" s="177">
        <v>0.98</v>
      </c>
      <c r="I88" s="1"/>
      <c r="J88" s="266"/>
    </row>
    <row r="89" spans="1:10" ht="15">
      <c r="A89" s="1"/>
      <c r="B89" s="105" t="s">
        <v>11</v>
      </c>
      <c r="C89" s="178">
        <v>0.02</v>
      </c>
      <c r="D89" s="178">
        <v>0.02</v>
      </c>
      <c r="E89" s="178">
        <v>0.02</v>
      </c>
      <c r="F89" s="178">
        <v>0.02</v>
      </c>
      <c r="G89" s="178">
        <v>0.02</v>
      </c>
      <c r="H89" s="178">
        <v>0.02</v>
      </c>
      <c r="I89" s="1"/>
      <c r="J89" s="266"/>
    </row>
    <row r="90" spans="1:10" ht="15">
      <c r="A90" s="1"/>
      <c r="B90" s="163" t="s">
        <v>10</v>
      </c>
      <c r="C90" s="179">
        <v>0.33</v>
      </c>
      <c r="D90" s="179">
        <v>0.33</v>
      </c>
      <c r="E90" s="179">
        <v>0.33</v>
      </c>
      <c r="F90" s="179">
        <v>0.33</v>
      </c>
      <c r="G90" s="179">
        <v>0.33</v>
      </c>
      <c r="H90" s="179">
        <v>0.33</v>
      </c>
      <c r="I90" s="1"/>
      <c r="J90" s="266"/>
    </row>
    <row r="91" spans="1:10" ht="26.25">
      <c r="A91" s="1"/>
      <c r="B91" s="105" t="s">
        <v>169</v>
      </c>
      <c r="C91" s="176">
        <v>12</v>
      </c>
      <c r="D91" s="176">
        <v>12</v>
      </c>
      <c r="E91" s="176">
        <v>12</v>
      </c>
      <c r="F91" s="176">
        <v>12</v>
      </c>
      <c r="G91" s="176">
        <v>12</v>
      </c>
      <c r="H91" s="176">
        <v>12</v>
      </c>
      <c r="I91" s="1"/>
      <c r="J91" s="266"/>
    </row>
    <row r="92" spans="1:10" ht="26.25">
      <c r="A92" s="1"/>
      <c r="B92" s="70" t="s">
        <v>170</v>
      </c>
      <c r="C92" s="180">
        <v>2</v>
      </c>
      <c r="D92" s="180">
        <v>2</v>
      </c>
      <c r="E92" s="180">
        <v>2</v>
      </c>
      <c r="F92" s="180">
        <v>2</v>
      </c>
      <c r="G92" s="180">
        <v>2</v>
      </c>
      <c r="H92" s="180">
        <v>2</v>
      </c>
      <c r="I92" s="1"/>
      <c r="J92" s="266"/>
    </row>
    <row r="93" spans="1:10" ht="26.25">
      <c r="A93" s="1"/>
      <c r="B93" s="70" t="s">
        <v>202</v>
      </c>
      <c r="C93" s="181">
        <v>58</v>
      </c>
      <c r="D93" s="181">
        <v>58</v>
      </c>
      <c r="E93" s="181">
        <v>58</v>
      </c>
      <c r="F93" s="181">
        <v>58</v>
      </c>
      <c r="G93" s="181">
        <v>58</v>
      </c>
      <c r="H93" s="181">
        <v>58</v>
      </c>
      <c r="I93" s="1"/>
      <c r="J93" s="266"/>
    </row>
    <row r="94" spans="1:10" ht="26.25">
      <c r="A94" s="1"/>
      <c r="B94" s="70" t="s">
        <v>306</v>
      </c>
      <c r="C94" s="181">
        <v>2.78</v>
      </c>
      <c r="D94" s="181">
        <v>2.78</v>
      </c>
      <c r="E94" s="181">
        <v>2.78</v>
      </c>
      <c r="F94" s="181">
        <v>2.78</v>
      </c>
      <c r="G94" s="181">
        <v>2.78</v>
      </c>
      <c r="H94" s="181">
        <v>2.78</v>
      </c>
      <c r="I94" s="30"/>
      <c r="J94" s="266"/>
    </row>
    <row r="95" spans="1:10" ht="15">
      <c r="A95" s="1"/>
      <c r="B95" s="164" t="s">
        <v>166</v>
      </c>
      <c r="C95" s="182">
        <v>0.98</v>
      </c>
      <c r="D95" s="182">
        <v>0.925</v>
      </c>
      <c r="E95" s="182">
        <v>0.98</v>
      </c>
      <c r="F95" s="182">
        <v>0.98</v>
      </c>
      <c r="G95" s="182">
        <v>0.98</v>
      </c>
      <c r="H95" s="182">
        <v>0.98</v>
      </c>
      <c r="I95" s="30"/>
      <c r="J95" s="266"/>
    </row>
    <row r="96" spans="1:10" ht="26.25">
      <c r="A96" s="1"/>
      <c r="B96" s="164" t="s">
        <v>9</v>
      </c>
      <c r="C96" s="181">
        <v>0.69</v>
      </c>
      <c r="D96" s="181">
        <v>0.69</v>
      </c>
      <c r="E96" s="181">
        <v>0.69</v>
      </c>
      <c r="F96" s="181">
        <v>0.69</v>
      </c>
      <c r="G96" s="181">
        <v>0.69</v>
      </c>
      <c r="H96" s="181">
        <v>0.69</v>
      </c>
      <c r="I96" s="30"/>
      <c r="J96" s="266"/>
    </row>
    <row r="97" spans="1:10" ht="15">
      <c r="A97" s="1"/>
      <c r="B97" s="159" t="s">
        <v>8</v>
      </c>
      <c r="C97" s="221">
        <v>5</v>
      </c>
      <c r="D97" s="221">
        <v>5</v>
      </c>
      <c r="E97" s="221">
        <v>5</v>
      </c>
      <c r="F97" s="221">
        <v>5</v>
      </c>
      <c r="G97" s="221">
        <v>5</v>
      </c>
      <c r="H97" s="221">
        <v>5</v>
      </c>
      <c r="I97" s="30"/>
      <c r="J97" s="266"/>
    </row>
    <row r="98" spans="1:10" ht="15">
      <c r="A98" s="1"/>
      <c r="B98" s="158" t="s">
        <v>7</v>
      </c>
      <c r="C98" s="223">
        <v>34</v>
      </c>
      <c r="D98" s="223">
        <v>90</v>
      </c>
      <c r="E98" s="223">
        <v>34</v>
      </c>
      <c r="F98" s="223">
        <v>45</v>
      </c>
      <c r="G98" s="223">
        <v>34</v>
      </c>
      <c r="H98" s="223">
        <v>53</v>
      </c>
      <c r="I98" s="30"/>
      <c r="J98" s="266"/>
    </row>
    <row r="99" spans="1:10" ht="15">
      <c r="A99" s="1"/>
      <c r="B99" s="154" t="s">
        <v>167</v>
      </c>
      <c r="C99" s="183">
        <v>0.05</v>
      </c>
      <c r="D99" s="183">
        <v>0.05</v>
      </c>
      <c r="E99" s="183">
        <v>0.05</v>
      </c>
      <c r="F99" s="183">
        <v>0.05</v>
      </c>
      <c r="G99" s="183">
        <v>0.05</v>
      </c>
      <c r="H99" s="183">
        <v>0.05</v>
      </c>
      <c r="I99" s="30"/>
      <c r="J99" s="266"/>
    </row>
    <row r="100" spans="1:10" ht="15" customHeight="1">
      <c r="A100" s="1"/>
      <c r="B100" s="105" t="s">
        <v>239</v>
      </c>
      <c r="C100" s="186">
        <f>ROUND((TPS_num_clients/TPS_upgrade_cycle)/TPS_num_clients,2)</f>
        <v>0.25</v>
      </c>
      <c r="D100" s="184">
        <f>ROUND((TMR_num_clients/TMR_upgrade_cycle)/TMR_num_clients,2)</f>
        <v>0.25</v>
      </c>
      <c r="E100" s="184">
        <f>ROUND((VHD_num_clients/VHD_upgrade_cycle)/VHD_num_clients,2)</f>
        <v>0.25</v>
      </c>
      <c r="F100" s="184">
        <f>ROUND((OSS_num_clients/OSS_upgrade_cycle)/OSS_num_clients,2)</f>
        <v>0.25</v>
      </c>
      <c r="G100" s="184">
        <f>ROUND((BPC_num_clients/BPC_upgrade_cycle)/BPC_num_clients,2)</f>
        <v>0.25</v>
      </c>
      <c r="H100" s="184">
        <f>ROUND((AS_num_clients/AS_upgrade_cycle)/AS_num_clients,2)</f>
        <v>0.25</v>
      </c>
      <c r="I100" s="30"/>
      <c r="J100" s="266"/>
    </row>
    <row r="101" spans="1:10" ht="15">
      <c r="A101" s="1"/>
      <c r="B101" s="105" t="s">
        <v>240</v>
      </c>
      <c r="C101" s="186">
        <f>ROUND((TPS_num_clients/TPS_upgrade_cycle)/TPS_num_clients,2)</f>
        <v>0.25</v>
      </c>
      <c r="D101" s="184">
        <f>ROUND((TMR_num_clients/TMR_upgrade_cycle)/TMR_num_clients,2)</f>
        <v>0.25</v>
      </c>
      <c r="E101" s="184">
        <f>ROUND((VHD_num_clients/VHD_upgrade_cycle)/VHD_num_clients,2)</f>
        <v>0.25</v>
      </c>
      <c r="F101" s="184">
        <f>ROUND((OSS_num_clients/OSS_upgrade_cycle)/OSS_num_clients,2)</f>
        <v>0.25</v>
      </c>
      <c r="G101" s="184">
        <f>ROUND((BPC_num_clients/BPC_upgrade_cycle)/BPC_num_clients,2)</f>
        <v>0.25</v>
      </c>
      <c r="H101" s="184">
        <f>ROUND((AS_num_clients/AS_upgrade_cycle)/AS_num_clients,2)</f>
        <v>0.25</v>
      </c>
      <c r="I101" s="30"/>
      <c r="J101" s="266"/>
    </row>
    <row r="102" spans="1:10" ht="15">
      <c r="A102" s="1"/>
      <c r="B102" s="224" t="s">
        <v>6</v>
      </c>
      <c r="C102" s="222">
        <v>105</v>
      </c>
      <c r="D102" s="222">
        <v>160</v>
      </c>
      <c r="E102" s="222">
        <v>105</v>
      </c>
      <c r="F102" s="222">
        <v>110</v>
      </c>
      <c r="G102" s="222">
        <v>105</v>
      </c>
      <c r="H102" s="222">
        <v>135</v>
      </c>
      <c r="I102" s="30"/>
      <c r="J102" s="266"/>
    </row>
    <row r="103" spans="1:10" ht="15">
      <c r="A103" s="1"/>
      <c r="B103" s="225" t="s">
        <v>5</v>
      </c>
      <c r="C103" s="222">
        <v>105</v>
      </c>
      <c r="D103" s="222">
        <v>160</v>
      </c>
      <c r="E103" s="222">
        <v>105</v>
      </c>
      <c r="F103" s="222">
        <v>110</v>
      </c>
      <c r="G103" s="222">
        <v>105</v>
      </c>
      <c r="H103" s="222">
        <v>135</v>
      </c>
      <c r="I103" s="30"/>
      <c r="J103" s="266"/>
    </row>
    <row r="104" spans="1:10" ht="15" customHeight="1">
      <c r="A104" s="1"/>
      <c r="B104" s="225" t="s">
        <v>4</v>
      </c>
      <c r="C104" s="222">
        <v>55</v>
      </c>
      <c r="D104" s="222">
        <v>75</v>
      </c>
      <c r="E104" s="222">
        <v>55</v>
      </c>
      <c r="F104" s="222">
        <v>60</v>
      </c>
      <c r="G104" s="222">
        <v>55</v>
      </c>
      <c r="H104" s="222">
        <v>60</v>
      </c>
      <c r="I104" s="30"/>
      <c r="J104" s="266"/>
    </row>
    <row r="105" spans="1:10" ht="15">
      <c r="A105" s="1"/>
      <c r="B105" s="226" t="s">
        <v>171</v>
      </c>
      <c r="C105" s="223">
        <v>0.24</v>
      </c>
      <c r="D105" s="223">
        <v>0.75</v>
      </c>
      <c r="E105" s="223">
        <v>0.24</v>
      </c>
      <c r="F105" s="223">
        <v>0.28</v>
      </c>
      <c r="G105" s="223">
        <v>0.24</v>
      </c>
      <c r="H105" s="223">
        <v>0.28</v>
      </c>
      <c r="I105" s="30"/>
      <c r="J105" s="257"/>
    </row>
    <row r="106" spans="1:10" s="102" customFormat="1" ht="38.25">
      <c r="A106" s="1"/>
      <c r="B106" s="226" t="s">
        <v>172</v>
      </c>
      <c r="C106" s="223">
        <v>0.16</v>
      </c>
      <c r="D106" s="223">
        <v>0.41</v>
      </c>
      <c r="E106" s="223">
        <v>0.16</v>
      </c>
      <c r="F106" s="223">
        <v>0.17</v>
      </c>
      <c r="G106" s="223">
        <v>0.16</v>
      </c>
      <c r="H106" s="223">
        <v>0.17</v>
      </c>
      <c r="J106" s="260"/>
    </row>
    <row r="107" spans="1:10" ht="15">
      <c r="A107" s="1"/>
      <c r="B107" s="70" t="s">
        <v>3</v>
      </c>
      <c r="C107" s="181">
        <v>40</v>
      </c>
      <c r="D107" s="181">
        <v>40</v>
      </c>
      <c r="E107" s="181">
        <v>40</v>
      </c>
      <c r="F107" s="181">
        <v>40</v>
      </c>
      <c r="G107" s="181">
        <v>40</v>
      </c>
      <c r="H107" s="181">
        <v>40</v>
      </c>
      <c r="I107" s="30"/>
      <c r="J107" s="257"/>
    </row>
    <row r="108" spans="1:10" ht="15" customHeight="1">
      <c r="A108" s="1"/>
      <c r="B108" s="105" t="s">
        <v>173</v>
      </c>
      <c r="C108" s="310">
        <f>ROUND(TPS_average_IT_hourly_wage*TPS_workdays_per_year*8/TPS_max_servers_per_FTE,0)</f>
        <v>3100</v>
      </c>
      <c r="D108" s="310">
        <f>ROUND(TMR_average_IT_hourly_wage*TMR_workdays_per_year*8/TMR_max_servers_per_FTE,0)</f>
        <v>3100</v>
      </c>
      <c r="E108" s="310">
        <f>ROUND(VHD_average_IT_hourly_wage*VHD_workdays_per_year*8/VHD_max_servers_per_FTE,0)</f>
        <v>3100</v>
      </c>
      <c r="F108" s="310">
        <f>ROUND(OSS_average_IT_hourly_wage*OSS_workdays_per_year*8/OSS_max_servers_per_FTE,0)</f>
        <v>3100</v>
      </c>
      <c r="G108" s="310">
        <f>ROUND(BPC_average_IT_hourly_wage*BPC_workdays_per_year*8/BPC_max_servers_per_FTE,0)</f>
        <v>3100</v>
      </c>
      <c r="H108" s="310">
        <f>ROUND(AS_average_IT_hourly_wage*AS_workdays_per_year*8/AS_max_servers_per_FTE,0)</f>
        <v>3100</v>
      </c>
      <c r="I108" s="30"/>
      <c r="J108" s="266"/>
    </row>
    <row r="109" spans="1:10" ht="15">
      <c r="A109" s="1"/>
      <c r="B109" s="105" t="s">
        <v>164</v>
      </c>
      <c r="C109" s="175">
        <v>0</v>
      </c>
      <c r="D109" s="175">
        <v>0</v>
      </c>
      <c r="E109" s="175">
        <v>0</v>
      </c>
      <c r="F109" s="175">
        <v>0</v>
      </c>
      <c r="G109" s="175">
        <v>0</v>
      </c>
      <c r="H109" s="175">
        <v>0</v>
      </c>
      <c r="I109" s="30"/>
      <c r="J109" s="266"/>
    </row>
    <row r="110" spans="1:10" ht="15" customHeight="1">
      <c r="A110" s="1"/>
      <c r="B110" s="161"/>
      <c r="C110" s="119"/>
      <c r="D110" s="119"/>
      <c r="E110" s="119"/>
      <c r="F110" s="119"/>
      <c r="G110" s="119"/>
      <c r="H110" s="119"/>
      <c r="I110" s="4"/>
      <c r="J110" s="266"/>
    </row>
    <row r="111" spans="1:10" ht="45">
      <c r="A111" s="1"/>
      <c r="B111" s="238"/>
      <c r="C111" s="10" t="s">
        <v>204</v>
      </c>
      <c r="D111" s="10" t="s">
        <v>153</v>
      </c>
      <c r="E111" s="10" t="s">
        <v>140</v>
      </c>
      <c r="F111" s="10" t="s">
        <v>208</v>
      </c>
      <c r="G111" s="10" t="s">
        <v>150</v>
      </c>
      <c r="H111" s="10" t="s">
        <v>209</v>
      </c>
      <c r="J111" s="266"/>
    </row>
    <row r="112" spans="1:10" ht="15" customHeight="1">
      <c r="A112" s="1"/>
      <c r="B112" s="153" t="s">
        <v>2</v>
      </c>
      <c r="C112" s="187"/>
      <c r="D112" s="188"/>
      <c r="E112" s="188"/>
      <c r="F112" s="188"/>
      <c r="G112" s="189"/>
      <c r="H112" s="188"/>
      <c r="J112" s="266"/>
    </row>
    <row r="113" spans="1:10" ht="15" customHeight="1">
      <c r="A113" s="1"/>
      <c r="B113" s="105" t="s">
        <v>1</v>
      </c>
      <c r="C113" s="181">
        <v>0</v>
      </c>
      <c r="D113" s="181">
        <v>0</v>
      </c>
      <c r="E113" s="181">
        <v>0</v>
      </c>
      <c r="F113" s="181">
        <v>0</v>
      </c>
      <c r="G113" s="181">
        <v>0</v>
      </c>
      <c r="H113" s="181">
        <v>0</v>
      </c>
      <c r="J113" s="266"/>
    </row>
    <row r="114" spans="1:10" ht="15" customHeight="1">
      <c r="A114" s="1"/>
      <c r="B114" s="105" t="s">
        <v>0</v>
      </c>
      <c r="C114" s="181">
        <v>0</v>
      </c>
      <c r="D114" s="181">
        <v>0</v>
      </c>
      <c r="E114" s="181">
        <v>0</v>
      </c>
      <c r="F114" s="181">
        <v>0</v>
      </c>
      <c r="G114" s="181">
        <v>0</v>
      </c>
      <c r="H114" s="181">
        <v>0</v>
      </c>
      <c r="J114" s="266"/>
    </row>
    <row r="115" spans="1:10" ht="15" customHeight="1">
      <c r="A115" s="1"/>
      <c r="B115" s="105" t="s">
        <v>126</v>
      </c>
      <c r="C115" s="140">
        <f>TPS_MinutesServerCongestion</f>
        <v>3.25</v>
      </c>
      <c r="D115" s="140">
        <f>TMR_MinutesServerCongestion</f>
        <v>0</v>
      </c>
      <c r="E115" s="140">
        <f>VHD_MinutesServerCongestion</f>
        <v>3.5</v>
      </c>
      <c r="F115" s="140">
        <f>OSS_MinutesServerCongestion</f>
        <v>0.75</v>
      </c>
      <c r="G115" s="195" t="s">
        <v>54</v>
      </c>
      <c r="H115" s="140">
        <f>AS_MinutesServerCongestion</f>
        <v>0</v>
      </c>
      <c r="J115" s="266"/>
    </row>
    <row r="116" spans="1:10" ht="15" customHeight="1">
      <c r="A116" s="1"/>
      <c r="B116" s="105" t="s">
        <v>174</v>
      </c>
      <c r="C116" s="181">
        <v>0</v>
      </c>
      <c r="D116" s="181">
        <v>0</v>
      </c>
      <c r="E116" s="181">
        <v>0</v>
      </c>
      <c r="F116" s="181">
        <v>0</v>
      </c>
      <c r="G116" s="181">
        <v>0</v>
      </c>
      <c r="H116" s="181">
        <v>0</v>
      </c>
      <c r="J116" s="266"/>
    </row>
    <row r="117" spans="1:10" ht="15" customHeight="1">
      <c r="A117" s="1"/>
      <c r="B117" s="105" t="s">
        <v>175</v>
      </c>
      <c r="C117" s="181">
        <v>0</v>
      </c>
      <c r="D117" s="181">
        <v>0</v>
      </c>
      <c r="E117" s="181">
        <v>0</v>
      </c>
      <c r="F117" s="181">
        <v>0</v>
      </c>
      <c r="G117" s="196">
        <f>ROUND(BPC_MinutesServerCongestion/10,2)</f>
        <v>0.77</v>
      </c>
      <c r="H117" s="181">
        <v>0</v>
      </c>
      <c r="J117" s="266"/>
    </row>
    <row r="118" spans="1:10" ht="15" customHeight="1">
      <c r="A118" s="1"/>
      <c r="B118" s="105" t="s">
        <v>176</v>
      </c>
      <c r="C118" s="180">
        <v>0</v>
      </c>
      <c r="D118" s="180">
        <v>0</v>
      </c>
      <c r="E118" s="180">
        <v>0</v>
      </c>
      <c r="F118" s="180">
        <v>0</v>
      </c>
      <c r="G118" s="180">
        <v>10</v>
      </c>
      <c r="H118" s="180">
        <v>0</v>
      </c>
      <c r="J118" s="266"/>
    </row>
    <row r="120" spans="2:9" ht="15">
      <c r="B120" s="244" t="s">
        <v>205</v>
      </c>
      <c r="C120" s="245"/>
      <c r="D120" s="245"/>
      <c r="E120" s="245"/>
      <c r="F120" s="245"/>
      <c r="G120" s="245"/>
      <c r="H120" s="245"/>
      <c r="I120" s="30"/>
    </row>
    <row r="121" spans="2:8" ht="15">
      <c r="B121" s="246" t="s">
        <v>179</v>
      </c>
      <c r="C121" s="246"/>
      <c r="D121" s="247"/>
      <c r="E121" s="247"/>
      <c r="F121" s="247"/>
      <c r="G121" s="248"/>
      <c r="H121" s="247"/>
    </row>
    <row r="122" spans="2:9" ht="15">
      <c r="B122" s="21" t="s">
        <v>124</v>
      </c>
      <c r="C122" s="249">
        <v>10000</v>
      </c>
      <c r="D122" s="249">
        <v>10000</v>
      </c>
      <c r="E122" s="249">
        <v>10000</v>
      </c>
      <c r="F122" s="249">
        <v>10000</v>
      </c>
      <c r="G122" s="249">
        <v>10000</v>
      </c>
      <c r="H122" s="249">
        <v>10000</v>
      </c>
      <c r="I122" s="30"/>
    </row>
    <row r="123" spans="2:9" ht="15">
      <c r="B123" s="21" t="s">
        <v>120</v>
      </c>
      <c r="C123" s="250">
        <v>4</v>
      </c>
      <c r="D123" s="250">
        <v>4</v>
      </c>
      <c r="E123" s="250">
        <v>4</v>
      </c>
      <c r="F123" s="250">
        <v>4</v>
      </c>
      <c r="G123" s="250">
        <v>4</v>
      </c>
      <c r="H123" s="250">
        <v>4</v>
      </c>
      <c r="I123" s="30"/>
    </row>
    <row r="124" spans="2:9" ht="15">
      <c r="B124" s="21" t="s">
        <v>117</v>
      </c>
      <c r="C124" s="250">
        <v>120</v>
      </c>
      <c r="D124" s="250">
        <v>120</v>
      </c>
      <c r="E124" s="250">
        <v>120</v>
      </c>
      <c r="F124" s="250">
        <v>120</v>
      </c>
      <c r="G124" s="250">
        <v>120</v>
      </c>
      <c r="H124" s="250">
        <v>120</v>
      </c>
      <c r="I124" s="30"/>
    </row>
    <row r="125" spans="2:9" ht="15">
      <c r="B125" s="25" t="s">
        <v>83</v>
      </c>
      <c r="C125" s="251">
        <v>57</v>
      </c>
      <c r="D125" s="252" t="s">
        <v>54</v>
      </c>
      <c r="E125" s="251">
        <v>36</v>
      </c>
      <c r="F125" s="253">
        <v>153</v>
      </c>
      <c r="G125" s="254" t="s">
        <v>54</v>
      </c>
      <c r="H125" s="252">
        <v>399</v>
      </c>
      <c r="I125" s="30"/>
    </row>
    <row r="126" spans="2:8" ht="25.5">
      <c r="B126" s="31" t="s">
        <v>126</v>
      </c>
      <c r="C126" s="252">
        <v>3.25</v>
      </c>
      <c r="D126" s="252">
        <v>0</v>
      </c>
      <c r="E126" s="252">
        <v>3.5</v>
      </c>
      <c r="F126" s="252">
        <v>0.75</v>
      </c>
      <c r="G126" s="252">
        <v>7.7</v>
      </c>
      <c r="H126" s="252">
        <v>0</v>
      </c>
    </row>
  </sheetData>
  <sheetProtection selectLockedCells="1" selectUnlockedCells="1"/>
  <mergeCells count="1">
    <mergeCell ref="B1:C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Compute Model TCO Calculator</dc:title>
  <dc:subject/>
  <dc:creator>Principled Technologies, Inc.</dc:creator>
  <cp:keywords/>
  <dc:description/>
  <cp:lastModifiedBy>Principled Technologies, Inc.</cp:lastModifiedBy>
  <cp:lastPrinted>2007-11-02T01:35:07Z</cp:lastPrinted>
  <dcterms:created xsi:type="dcterms:W3CDTF">2007-09-07T20:30:41Z</dcterms:created>
  <dcterms:modified xsi:type="dcterms:W3CDTF">2007-11-02T21:12:48Z</dcterms:modified>
  <cp:category/>
  <cp:version/>
  <cp:contentType/>
  <cp:contentStatus/>
</cp:coreProperties>
</file>